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3250" windowHeight="6110" tabRatio="895" activeTab="0"/>
  </bookViews>
  <sheets>
    <sheet name="Note compilazione" sheetId="1" r:id="rId1"/>
    <sheet name="Dati generali-anagrafici" sheetId="2" r:id="rId2"/>
    <sheet name="Servizi di Trasporto Dati" sheetId="3" r:id="rId3"/>
    <sheet name="Servizi di Posta Elettronica" sheetId="4" r:id="rId4"/>
    <sheet name="Servizi di Sicurezza Perimetr." sheetId="5" r:id="rId5"/>
    <sheet name="Servizi Com. Evoluta - VoIP" sheetId="6" r:id="rId6"/>
    <sheet name="Servizi Com. Evoluta-Telepres." sheetId="7" r:id="rId7"/>
    <sheet name="Servizi di Supp. Professionale" sheetId="8" r:id="rId8"/>
    <sheet name="Listini" sheetId="9" r:id="rId9"/>
    <sheet name="Base d'asta" sheetId="10" r:id="rId10"/>
    <sheet name="Riepilogo Fabbisogni" sheetId="11" state="hidden" r:id="rId11"/>
    <sheet name="Listino Offerta" sheetId="12" r:id="rId12"/>
    <sheet name="Riepilogo Costi Contratto" sheetId="13" r:id="rId13"/>
  </sheets>
  <definedNames>
    <definedName name="_Toc327268809" localSheetId="8">'Listini'!#REF!</definedName>
    <definedName name="_Toc327268809" localSheetId="11">'Listino Offerta'!#REF!</definedName>
    <definedName name="_Toc327268810" localSheetId="8">'Listini'!#REF!</definedName>
    <definedName name="_Toc327268810" localSheetId="11">'Listino Offerta'!#REF!</definedName>
    <definedName name="acc_mens">#REF!</definedName>
    <definedName name="AVG">#REF!</definedName>
    <definedName name="banda">#REF!</definedName>
    <definedName name="BMA">#REF!</definedName>
    <definedName name="ELM">#REF!</definedName>
    <definedName name="FE_mens">#REF!</definedName>
    <definedName name="FTP">#REF!</definedName>
    <definedName name="HIDS">#REF!</definedName>
    <definedName name="Housing">#REF!</definedName>
    <definedName name="HS">#REF!</definedName>
    <definedName name="HTTP">#REF!</definedName>
    <definedName name="livelli">#REF!</definedName>
    <definedName name="NAT">#REF!</definedName>
    <definedName name="NF">#REF!</definedName>
    <definedName name="NIDS">#REF!</definedName>
    <definedName name="PF">#REF!</definedName>
    <definedName name="profili">#REF!</definedName>
    <definedName name="TR_HP">#REF!</definedName>
    <definedName name="TR_mens">#REF!</definedName>
    <definedName name="VA">#REF!</definedName>
    <definedName name="VPN">#REF!</definedName>
  </definedNames>
  <calcPr fullCalcOnLoad="1"/>
</workbook>
</file>

<file path=xl/comments2.xml><?xml version="1.0" encoding="utf-8"?>
<comments xmlns="http://schemas.openxmlformats.org/spreadsheetml/2006/main">
  <authors>
    <author/>
  </authors>
  <commentList>
    <comment ref="G38" authorId="0">
      <text>
        <r>
          <rPr>
            <b/>
            <sz val="8"/>
            <color indexed="8"/>
            <rFont val="Tahoma"/>
            <family val="2"/>
          </rPr>
          <t>Informazioni relative al referente responsable della singola sede (qualora esistente)</t>
        </r>
      </text>
    </comment>
  </commentList>
</comments>
</file>

<file path=xl/sharedStrings.xml><?xml version="1.0" encoding="utf-8"?>
<sst xmlns="http://schemas.openxmlformats.org/spreadsheetml/2006/main" count="1511" uniqueCount="550">
  <si>
    <t>Dati generali-anagrafici</t>
  </si>
  <si>
    <t>L'indirizzo delle singole sedi va inserito solamente in questo foglio. La referenza con gli altri fogli è garantita attraverso l'utilizzo del codice univoco.
Nella tabella di sinistra in corrispondenza del campo "Referente contrattuale dell'Amministrazione"; inserire le informazioni relative al referente responsabile dei rapporti contrattuali con CTRP/Fornitore.
Nella tabella di destra, in corrispondenza dei campi "Referente"; inserire le informazioni relative al referente responsable della singola sede (qualora esistente).</t>
  </si>
  <si>
    <t>Servizi di Sicurezza</t>
  </si>
  <si>
    <t>INFORMAZIONI GENERALI - ANAGRAFICHE per AMMINISTRAZIONE</t>
  </si>
  <si>
    <t>Amministrazione</t>
  </si>
  <si>
    <t>Referente Contrattuale dell'Amministrazione</t>
  </si>
  <si>
    <t>Nome</t>
  </si>
  <si>
    <t>E-Mail</t>
  </si>
  <si>
    <t>Telefono</t>
  </si>
  <si>
    <t>Mobile</t>
  </si>
  <si>
    <t>FAX</t>
  </si>
  <si>
    <t>NOTE</t>
  </si>
  <si>
    <t>INFORMAZIONI GENERALI - ANAGRAFICHE di DETTAGLIO per SINGOLA SEDE</t>
  </si>
  <si>
    <t>Sede</t>
  </si>
  <si>
    <t>Referente</t>
  </si>
  <si>
    <t>Note</t>
  </si>
  <si>
    <t>Codice</t>
  </si>
  <si>
    <t>Indirizzo</t>
  </si>
  <si>
    <t>Comune</t>
  </si>
  <si>
    <t>Provincia</t>
  </si>
  <si>
    <t>C.A.P.</t>
  </si>
  <si>
    <t>E-mail</t>
  </si>
  <si>
    <t>Durata del Contratto Esecutivo (mesi)</t>
  </si>
  <si>
    <t>Finestra di erogazione estesa</t>
  </si>
  <si>
    <t>SEDE</t>
  </si>
  <si>
    <t>Numero Moduli di spazio su disco di 10 Mbyte</t>
  </si>
  <si>
    <t>COSTO TOTALE DEL CONTRATTO</t>
  </si>
  <si>
    <t>Una Tantum
(Iva esclusa)</t>
  </si>
  <si>
    <t>TOTALE</t>
  </si>
  <si>
    <t>10 Mbps</t>
  </si>
  <si>
    <t>Segreteria telefonica</t>
  </si>
  <si>
    <t>STDE-A1</t>
  </si>
  <si>
    <t>64 Kbps</t>
  </si>
  <si>
    <t>STDE-A2</t>
  </si>
  <si>
    <t>STDE-A3</t>
  </si>
  <si>
    <t>128 Kbps</t>
  </si>
  <si>
    <t>STDE-A4</t>
  </si>
  <si>
    <t>STDE-A5</t>
  </si>
  <si>
    <t>256 Kbps</t>
  </si>
  <si>
    <t>STDE-A6</t>
  </si>
  <si>
    <t>STDE-A7</t>
  </si>
  <si>
    <t>512 Kbps</t>
  </si>
  <si>
    <t>STDE-A8</t>
  </si>
  <si>
    <t>STDE-A9</t>
  </si>
  <si>
    <t>STDE-A10</t>
  </si>
  <si>
    <t>1024 Kbps</t>
  </si>
  <si>
    <t>STDE-S1</t>
  </si>
  <si>
    <t>STDE-S2</t>
  </si>
  <si>
    <t>384 Kbps</t>
  </si>
  <si>
    <t>STDE-S3</t>
  </si>
  <si>
    <t>STDE-S4</t>
  </si>
  <si>
    <t>STDE-S5</t>
  </si>
  <si>
    <t>2048 Kbps</t>
  </si>
  <si>
    <t>STDE-S6</t>
  </si>
  <si>
    <t>4096 Kbps</t>
  </si>
  <si>
    <t>STDO-1</t>
  </si>
  <si>
    <t>STDO-2</t>
  </si>
  <si>
    <t>20 Mbps</t>
  </si>
  <si>
    <t>STDO-3</t>
  </si>
  <si>
    <t>40 Mbps</t>
  </si>
  <si>
    <t>STDO-4</t>
  </si>
  <si>
    <t>STDO-5</t>
  </si>
  <si>
    <t>STDO-6</t>
  </si>
  <si>
    <t>STDO-7</t>
  </si>
  <si>
    <t>STDO-8</t>
  </si>
  <si>
    <t>STDO-9</t>
  </si>
  <si>
    <t>STDO-10</t>
  </si>
  <si>
    <t>STDO-11</t>
  </si>
  <si>
    <t>STDS-1</t>
  </si>
  <si>
    <t>STDS-2</t>
  </si>
  <si>
    <t>STDS-3</t>
  </si>
  <si>
    <t>STDW</t>
  </si>
  <si>
    <t>STDH-1</t>
  </si>
  <si>
    <t>STDH-2</t>
  </si>
  <si>
    <t>STDH-3</t>
  </si>
  <si>
    <t>STDH-4</t>
  </si>
  <si>
    <t>STDH-5</t>
  </si>
  <si>
    <t>STDH-6</t>
  </si>
  <si>
    <t>STDH-7</t>
  </si>
  <si>
    <t>Multiambito</t>
  </si>
  <si>
    <t>Affidabilità Elevata</t>
  </si>
  <si>
    <t>Estensione apparato 
WI-FI</t>
  </si>
  <si>
    <t>Servizio di Backup</t>
  </si>
  <si>
    <t>ISDN</t>
  </si>
  <si>
    <t>Radiomobile</t>
  </si>
  <si>
    <t>STBS-1</t>
  </si>
  <si>
    <t>STBS-2</t>
  </si>
  <si>
    <t>Si</t>
  </si>
  <si>
    <t>No</t>
  </si>
  <si>
    <t>CdS SBRI 
[numero blocchi da 64 K]</t>
  </si>
  <si>
    <t>Real Time</t>
  </si>
  <si>
    <t>Mission Critical</t>
  </si>
  <si>
    <t>Streaming</t>
  </si>
  <si>
    <t>Multimedia</t>
  </si>
  <si>
    <t>Multicast</t>
  </si>
  <si>
    <t>Blocchi BGA</t>
  </si>
  <si>
    <t>Totale</t>
  </si>
  <si>
    <t>Cod.</t>
  </si>
  <si>
    <t>OPZIONI</t>
  </si>
  <si>
    <t>PROFILO</t>
  </si>
  <si>
    <t>CONTROLLO ERRORI</t>
  </si>
  <si>
    <t>SPUN-1</t>
  </si>
  <si>
    <t>SPUN-2</t>
  </si>
  <si>
    <t>SPUN-3</t>
  </si>
  <si>
    <t>SPUN-4</t>
  </si>
  <si>
    <t>SPUN-5</t>
  </si>
  <si>
    <t>SPUN-6</t>
  </si>
  <si>
    <t>Application Filtering &amp; Monitoring</t>
  </si>
  <si>
    <t>Accesso remoto sicuro (VPN Client-to-site IPsec/SSL)</t>
  </si>
  <si>
    <t>Antivirus / Antispyware &amp; Content Filtering</t>
  </si>
  <si>
    <t>CEIP-1</t>
  </si>
  <si>
    <t>CEIP-2</t>
  </si>
  <si>
    <t>CEIP-3</t>
  </si>
  <si>
    <t>CEIP-4</t>
  </si>
  <si>
    <t>Breakout</t>
  </si>
  <si>
    <t>N°</t>
  </si>
  <si>
    <t>GWIP-1</t>
  </si>
  <si>
    <t>GWIP-2</t>
  </si>
  <si>
    <t>GWIP-3</t>
  </si>
  <si>
    <t>GWIP-4</t>
  </si>
  <si>
    <t>GWTD-1</t>
  </si>
  <si>
    <t>GWTD-2</t>
  </si>
  <si>
    <t>GWTD-3</t>
  </si>
  <si>
    <t>GWTD-4</t>
  </si>
  <si>
    <t>RESI-1</t>
  </si>
  <si>
    <t>RESI-2</t>
  </si>
  <si>
    <t>RESI-3</t>
  </si>
  <si>
    <t>RESI-4</t>
  </si>
  <si>
    <t>ENIP-1</t>
  </si>
  <si>
    <t>ENIP-2</t>
  </si>
  <si>
    <t>ENIP-3</t>
  </si>
  <si>
    <t>ENIP-4</t>
  </si>
  <si>
    <t>ENIP-5</t>
  </si>
  <si>
    <t>ENIP-6</t>
  </si>
  <si>
    <t>ENIP-7</t>
  </si>
  <si>
    <t>ENIP-8</t>
  </si>
  <si>
    <t>CEIP</t>
  </si>
  <si>
    <t>GATEWAY</t>
  </si>
  <si>
    <t>RESI</t>
  </si>
  <si>
    <t>ENIP</t>
  </si>
  <si>
    <t>OPZIONE</t>
  </si>
  <si>
    <t>OPZIONE
Finestra di erogazione estesa</t>
  </si>
  <si>
    <t>DC FSR</t>
  </si>
  <si>
    <t>SERVIZI DI GESTIONE DELL’INFRASTRUTTURA DI TELEPRESENZA (ITEP)</t>
  </si>
  <si>
    <t>SERVIZI DI GESTIONE DEGLI ENDPOINT DI TELEPRESENZA (ETEP)</t>
  </si>
  <si>
    <t>ITEP-1HD</t>
  </si>
  <si>
    <t>ITEP-1SD</t>
  </si>
  <si>
    <t>ETEP-1</t>
  </si>
  <si>
    <t>ETEP-2</t>
  </si>
  <si>
    <t>ETEP-3</t>
  </si>
  <si>
    <t>ETEP-4</t>
  </si>
  <si>
    <t>ETEP-5</t>
  </si>
  <si>
    <t>ITEP-2 (Managed)</t>
  </si>
  <si>
    <t>Registrazione delle sessioni</t>
  </si>
  <si>
    <t>N° postazioni per 30 min di conferenza*</t>
  </si>
  <si>
    <t>* Da valorizzare solo per profili ITEP-1</t>
  </si>
  <si>
    <t>N° Endpoint</t>
  </si>
  <si>
    <t>N° blocchi da 30 minuti di memorizzazione delle sessioni di video conferenza*</t>
  </si>
  <si>
    <t>SSUS-1</t>
  </si>
  <si>
    <t>STRA-1 (Servizi di supporto al Trasporto) - Team Leader</t>
  </si>
  <si>
    <t>SSUS-2</t>
  </si>
  <si>
    <t>STRA-1 (Servizi di supporto al Trasporto) - Specialista Senior</t>
  </si>
  <si>
    <t>SSUS-3</t>
  </si>
  <si>
    <t>STRA-1 (Servizi di supporto al Trasporto) - Specialista</t>
  </si>
  <si>
    <t>SSUS-4</t>
  </si>
  <si>
    <t>STRA-2 (Servizi di supporto al Trasporto) - Team Leader</t>
  </si>
  <si>
    <t>SSUS-5</t>
  </si>
  <si>
    <t>STRA-2 (Servizi di supporto al Trasporto) - Specialista Senior</t>
  </si>
  <si>
    <t>SSUS-6</t>
  </si>
  <si>
    <t>STRA-2 (Servizi di supporto al Trasporto) - Specialista</t>
  </si>
  <si>
    <t>SSUS-7</t>
  </si>
  <si>
    <t>SSIC-1 (Servizi di supporto alla Sicurezza) - Team Leader</t>
  </si>
  <si>
    <t>SSUS-8</t>
  </si>
  <si>
    <t>SSIC-1 (Servizi di supporto alla Sicurezza) - Specialista Senior</t>
  </si>
  <si>
    <t>SSUS-9</t>
  </si>
  <si>
    <t>SSIC-1 (Servizi di supporto alla Sicurezza) - Specialista</t>
  </si>
  <si>
    <t>SSUS-10</t>
  </si>
  <si>
    <t>SSIC-2 (Servizi di supporto alla Sicurezza) - Team Leader</t>
  </si>
  <si>
    <t>SSUS-11</t>
  </si>
  <si>
    <t>SSIC-2 (Servizi di supporto alla Sicurezza) - Specialista Senior</t>
  </si>
  <si>
    <t>SSUS-12</t>
  </si>
  <si>
    <t>SSIC-2 (Servizi di supporto alla Sicurezza) - Specialista</t>
  </si>
  <si>
    <t>SSUS-13</t>
  </si>
  <si>
    <t>SSIC-3 (Servizi di supporto alla Sicurezza) - Team Leader</t>
  </si>
  <si>
    <t>SSUS-14</t>
  </si>
  <si>
    <t>SSIC-3 (Servizi di supporto alla Sicurezza) - Specialista Senior</t>
  </si>
  <si>
    <t>SSUS-15</t>
  </si>
  <si>
    <t>SSIC-3 (Servizi di supporto alla Sicurezza) - Specialista</t>
  </si>
  <si>
    <t>SSUS-16</t>
  </si>
  <si>
    <t>SSIC-4 (Servizi di supporto alla Sicurezza) - Team Leader</t>
  </si>
  <si>
    <t>SSUS-17</t>
  </si>
  <si>
    <t>SSIC-4 (Servizi di supporto alla Sicurezza) - Specialista Senior</t>
  </si>
  <si>
    <t>SSUS-18</t>
  </si>
  <si>
    <t>SSIC-4 (Servizi di supporto alla Sicurezza) - Specialista</t>
  </si>
  <si>
    <t>SSUS-19</t>
  </si>
  <si>
    <t>SSCE-1 (Servizi di supporto alla Comunicazione Evoluta) - Team Leader</t>
  </si>
  <si>
    <t>SSUS-20</t>
  </si>
  <si>
    <t>SSCE-1 (Servizi di supporto alla Comunicazione Evoluta) - Specialista Senior</t>
  </si>
  <si>
    <t>SSUS-21</t>
  </si>
  <si>
    <t>SSCE-1 (Servizi di supporto alla Comunicazione Evoluta) - Specialista</t>
  </si>
  <si>
    <t>FORM-1</t>
  </si>
  <si>
    <t>FONS-1 (Formazione On Site)</t>
  </si>
  <si>
    <t>FORM-2</t>
  </si>
  <si>
    <t>FONS-2 (Formazione On Site)</t>
  </si>
  <si>
    <t>FORM-3</t>
  </si>
  <si>
    <t>FONS-3 (Formazione On Site)</t>
  </si>
  <si>
    <t>FORM-4</t>
  </si>
  <si>
    <t>FREM-1 (Formazione da Remoto)</t>
  </si>
  <si>
    <t>FORM-5</t>
  </si>
  <si>
    <t>FREM-2 (Formazione da Remoto)</t>
  </si>
  <si>
    <t>SERVIZI DI SUPPORTO SPECIALISTICO</t>
  </si>
  <si>
    <t>SERVIZI DI FORMAZIONE</t>
  </si>
  <si>
    <t>N° GIORNI/UOMO</t>
  </si>
  <si>
    <t>DESCRIZIONE</t>
  </si>
  <si>
    <t>N° GIORNI</t>
  </si>
  <si>
    <t>Servizi di trasporto</t>
  </si>
  <si>
    <t>Cod. Sede</t>
  </si>
  <si>
    <t>Profilo</t>
  </si>
  <si>
    <t>WI-FI</t>
  </si>
  <si>
    <t>Backup</t>
  </si>
  <si>
    <t>Servizi di posta elettronica</t>
  </si>
  <si>
    <t>N moduli</t>
  </si>
  <si>
    <t>Servizi di sicurezza</t>
  </si>
  <si>
    <t>Servizi di comunicazione evoluta Voip: Ceip</t>
  </si>
  <si>
    <t>Servizi di comunicazione evoluta Voip: Gateway</t>
  </si>
  <si>
    <t>Servizi di comunicazione evoluta Voip: ENIP</t>
  </si>
  <si>
    <t>Servizi di comunicazione evoluta Voip: RESI</t>
  </si>
  <si>
    <t>N</t>
  </si>
  <si>
    <t>N blocchi memorizzazione</t>
  </si>
  <si>
    <t>Servizi di comunicazione evoluta Telepresenza: ITEP</t>
  </si>
  <si>
    <t>Servizi di comunicazione evoluta Telepresenza: ETEP</t>
  </si>
  <si>
    <t>Servizi di supporto specialistico</t>
  </si>
  <si>
    <t>Servizi di formazione</t>
  </si>
  <si>
    <t>Descrizione</t>
  </si>
  <si>
    <t>Servizio di Trasporto Dati su portante elettrica  con BNA 640/128 Kbps e  BGA 64 Kbps</t>
  </si>
  <si>
    <t>Servizio di Trasporto Dati su portante elettrica  con BNA: 1024/128 Kbps;  BGA: 64 Kbps</t>
  </si>
  <si>
    <t>Servizio di Trasporto Dati su portante elettrica  con BNA: 1024/256 Kbps;  BGA: 128 Kbps</t>
  </si>
  <si>
    <t>Servizio di Trasporto Dati su portante elettrica  con BNA: 2048/256 Kbps;  BGA: 128 Kbps</t>
  </si>
  <si>
    <t>Servizio di Trasporto Dati su portante elettrica  con BNA: 2048/512 Kbps;  BGA: 256 Kbps</t>
  </si>
  <si>
    <t>Servizio di Trasporto Dati su portante elettrica  con BNA: 4096/512 Kbps;  BGA: 256 Kbps</t>
  </si>
  <si>
    <t>Servizio di Trasporto Dati su portante elettrica  con BNA: 10240/1024 Kbps;  BGA: 512 Kbps</t>
  </si>
  <si>
    <t>Servizio di Trasporto Dati su portante elettrica  con BNA: 20480/1024 Kbps;  BGA: 512 Kbps</t>
  </si>
  <si>
    <t>Servizio di Trasporto Dati su portante elettrica  con BNA: 30720/3072 Kbps;  BGA: 512 Kbps</t>
  </si>
  <si>
    <t>Servizio di Trasporto Dati su portante elettrica  con BNA: 30720/3072 Kbps;  BGA: 1024 Kbps</t>
  </si>
  <si>
    <t>Servizio di Trasporto Dati su portante elettrica  con BNA: 2048/2048 Kbps;  BGA: 256 Kbps</t>
  </si>
  <si>
    <t>Servizio di Trasporto Dati su portante elettrica  con BNA: 2048/2048 Kbps;  BGA: 384 Kbps</t>
  </si>
  <si>
    <t>Servizio di Trasporto Dati su portante elettrica  con BNA: 2048/2048 Kbps;  BGA: 512 Kbps</t>
  </si>
  <si>
    <t>Servizio di Trasporto Dati su portante elettrica  con BNA: 2048/2048 Kbps;  BGA: 1024 Kbps</t>
  </si>
  <si>
    <t>Servizio di Trasporto Dati su portante elettrica  con BNA: 4096/4096 Kbps;  BGA: 2048 Kbps</t>
  </si>
  <si>
    <t>Servizio di Trasporto Dati su portante elettrica  con BNA: 8192/8192 Kbps;  BGA: 4096 Kbps</t>
  </si>
  <si>
    <t>Servizio di Trasporto Dati su portante ottica con BNA: 10 Mbps;  BGA: 10 Mbps</t>
  </si>
  <si>
    <t>Servizio di Trasporto Dati su portante ottica con BNA: 20 Mbps;  BGA: 20 Mbps</t>
  </si>
  <si>
    <t>Servizio di Trasporto Dati su portante ottica con BNA: 40 Mbps;  BGA: 40 Mbps</t>
  </si>
  <si>
    <t>Servizio di Trasporto Dati su portante ottica con BNA: 100 Mbps;  BGA: 100 Mbps</t>
  </si>
  <si>
    <t>Servizio di Trasporto Dati su portante ottica con BNA: 200 Mbps;  BGA: 200 Mbps</t>
  </si>
  <si>
    <t>Servizio di Trasporto Dati su portante ottica con BNA: 300 Mbps;  BGA: 300 Mbps</t>
  </si>
  <si>
    <t>Servizio di Trasporto Dati su portante ottica con BNA: 600 Mbps;  BGA: 600 Mbps</t>
  </si>
  <si>
    <t>Servizio di Trasporto Dati su portante ottica con BNA: 1 Gbps;  BGA: 1 Gbps</t>
  </si>
  <si>
    <t>Servizio di Trasporto Dati su portante ottica con BNA: 2,5 Gbps;  BGA: 2,5 Gbps</t>
  </si>
  <si>
    <t>Servizio di Trasporto Dati su portante ottica con BNA: 5 Gbps;  BGA: 5 Gbps</t>
  </si>
  <si>
    <t>Servizio di Trasporto Dati su portante ottica con BNA: 10 Gbps;  BGA: 10 Gbps</t>
  </si>
  <si>
    <t>Servizio di Trasporto Dati Satellitare con BNA: 20/6 Mbps;  BGA: 32/32 Kbps</t>
  </si>
  <si>
    <t>Servizio di Trasporto Dati Satellitare con BNA: 20/6 Mbps;  BGA: 64/32 Kbps</t>
  </si>
  <si>
    <t>Servizio di Trasporto Dati Satellitare con BNA: 20/6 Mbps;  BGA: 128/64 Kbps</t>
  </si>
  <si>
    <t>Servizio di Trasporto Dati Wimax con BNA: 7/1 Mbps;  BGA: 512 Kbps</t>
  </si>
  <si>
    <t>Servizio di Trasporto Dati Hiperlan con BNA: 2 Mbps;  BGA: 1 Mbps</t>
  </si>
  <si>
    <t>Servizio di Trasporto Dati Hiperlan con BNA: 4 Mbps;  BGA: 2 Mbps</t>
  </si>
  <si>
    <t>Servizio di Trasporto Dati Hiperlan con BNA: 8 Mbps;  BGA: 4 Mbps</t>
  </si>
  <si>
    <t>Servizio di Trasporto Dati Hiperlan con BNA: 10 Mbps;  BGA: 5 Mbps</t>
  </si>
  <si>
    <t>Servizio di Trasporto Dati Hiperlan con BNA: 20 Mbps;  BGA: 10 Mbps</t>
  </si>
  <si>
    <t>Servizio di Trasporto Dati Hiperlan con BNA: 40 Mbps;  BGA: 20 Mbps</t>
  </si>
  <si>
    <t>Servizio di Trasporto Dati Hiperlan con BNA: 100 Mbps;  BGA: 50 Mbps</t>
  </si>
  <si>
    <t>Opzione multiambito</t>
  </si>
  <si>
    <t>Wi-Fi</t>
  </si>
  <si>
    <t>Opzione estensione apparato Wi-Fi</t>
  </si>
  <si>
    <t>STD-AE</t>
  </si>
  <si>
    <t>Opzione affidabilità elevata associata ai servizi di trasporto dati</t>
  </si>
  <si>
    <t xml:space="preserve">STD-FE </t>
  </si>
  <si>
    <t>Opzione finestra di erogazione estesa  associata ai servizi di trasporto dati</t>
  </si>
  <si>
    <t>STD-AEFE</t>
  </si>
  <si>
    <t>Opzione Affidabilità elevata e Finestra di erogazione estesa  associata ai servizi di trasporto dati</t>
  </si>
  <si>
    <t>RT</t>
  </si>
  <si>
    <t>Servizio accessorio di Banda Riservata (SBRI) di tipo real time</t>
  </si>
  <si>
    <t>MC</t>
  </si>
  <si>
    <t>Servizio accessorio di Banda Riservata (SBRI) di tipo mission critical</t>
  </si>
  <si>
    <t>ST</t>
  </si>
  <si>
    <t>Servizio accessorio di Banda Riservata (SBRI) di tipo streaming</t>
  </si>
  <si>
    <t>MM</t>
  </si>
  <si>
    <t>Servizio accessorio di Banda Riservata (SBRI) di tipo multimedia</t>
  </si>
  <si>
    <t>Servizio accessorio di Banda Riservata (SBRI) di tipo multicast</t>
  </si>
  <si>
    <t>Servizio accessorio di backup di tipo ISDN</t>
  </si>
  <si>
    <t>Servizio accessorio di backup di tipo radiomobile</t>
  </si>
  <si>
    <t>Servizio accessorio di backup di tipo satellitare con traffico annuale di 150 GB</t>
  </si>
  <si>
    <t>Servizio accessorio di backup di tipo satellitare con traffico annuale di 40 GB</t>
  </si>
  <si>
    <t>SPE</t>
  </si>
  <si>
    <t>Servizio di Posta Elettronica</t>
  </si>
  <si>
    <t>Servizio di sicurezza perimetrale unificata con Firewall Throughput 100 Mbps, IPS Throughput 40 Mbps e Tunnel VPN IPSec S2S simultanei 20</t>
  </si>
  <si>
    <t>Servizio di sicurezza perimetrale unificata con Firewall Throughput 200 Mbps, IPS Throughput 100 Mbps e Tunnel VPN IPSec S2S simultanei 25</t>
  </si>
  <si>
    <t>Servizio di sicurezza perimetrale unificata con Firewall Throughput 450 Mbps, IPS Throughput 200 Mbps e Tunnel VPN IPSec S2S simultanei 30</t>
  </si>
  <si>
    <t>Servizio di sicurezza perimetrale unificata con Firewall Throughput 1500 Mbps, IPS Throughput 650 Mbps e Tunnel VPN IPSec S2S simultanei 35</t>
  </si>
  <si>
    <t>Servizio di sicurezza perimetrale unificata con Firewall Throughput 4000 Mbps, IPS Throughput 2000 Mbps e Tunnel VPN IPSec S2S simultanei 40</t>
  </si>
  <si>
    <t>Servizio di sicurezza perimetrale unificata con Firewall Throughput 20000 Mbps, IPS Throughput 8000 Mbps e Tunnel VPN IPSec S2S simultanei 45</t>
  </si>
  <si>
    <t>SCEN-1</t>
  </si>
  <si>
    <t>Servizio di sicurezza centralizzata associata al profilo sel servizio di trasporto STDE-A1</t>
  </si>
  <si>
    <t>SCEN-2</t>
  </si>
  <si>
    <t>Servizio di sicurezza centralizzata associata al profilo sel servizio di trasporto STDE-A2</t>
  </si>
  <si>
    <t>SCEN-3</t>
  </si>
  <si>
    <t>Servizio di sicurezza centralizzata associata al profilo sel servizio di trasporto STDE-A3</t>
  </si>
  <si>
    <t>SCEN-4</t>
  </si>
  <si>
    <t>Servizio di sicurezza centralizzata associata al profilo sel servizio di trasporto STDE-A4</t>
  </si>
  <si>
    <t>SCEN-5</t>
  </si>
  <si>
    <t>Servizio di sicurezza centralizzata associata al profilo sel servizio di trasporto STDE-A5</t>
  </si>
  <si>
    <t>SCEN-6</t>
  </si>
  <si>
    <t>Servizio di sicurezza centralizzata associata al profilo sel servizio di trasporto STDE-A6</t>
  </si>
  <si>
    <t>SCEN-7</t>
  </si>
  <si>
    <t>Servizio di sicurezza centralizzata associata al profilo sel servizio di trasporto STDE-A7</t>
  </si>
  <si>
    <t>SCEN-8</t>
  </si>
  <si>
    <t>Servizio di sicurezza centralizzata associata al profilo sel servizio di trasporto STDE-A8</t>
  </si>
  <si>
    <t>SCEN-9</t>
  </si>
  <si>
    <t>Servizio di sicurezza centralizzata associata al profilo sel servizio di trasporto STDE-A9</t>
  </si>
  <si>
    <t>SCEN-10</t>
  </si>
  <si>
    <t>Servizio di sicurezza centralizzata associata al profilo sel servizio di trasporto STDE-A10</t>
  </si>
  <si>
    <t>SCEN-11</t>
  </si>
  <si>
    <t>Servizio di sicurezza centralizzata associata al profilo sel servizio di trasporto STDE-S1</t>
  </si>
  <si>
    <t>SCEN-12</t>
  </si>
  <si>
    <t>Servizio di sicurezza centralizzata associata al profilo sel servizio di trasporto STDE-S2</t>
  </si>
  <si>
    <t>SCEN-13</t>
  </si>
  <si>
    <t>Servizio di sicurezza centralizzata associata al profilo sel servizio di trasporto STDE-S3</t>
  </si>
  <si>
    <t>SCEN-14</t>
  </si>
  <si>
    <t>Servizio di sicurezza centralizzata associata al profilo sel servizio di trasporto STDE-S4</t>
  </si>
  <si>
    <t>SCEN-15</t>
  </si>
  <si>
    <t>Servizio di sicurezza centralizzata associata al profilo sel servizio di trasporto STDE-S5</t>
  </si>
  <si>
    <t>SCEN-16</t>
  </si>
  <si>
    <t>Servizio di sicurezza centralizzata associata al profilo sel servizio di trasporto STDE-S6</t>
  </si>
  <si>
    <t>SCEN-17</t>
  </si>
  <si>
    <t>Servizio di sicurezza centralizzata associata al profilo sel servizio di trasporto STDS-1</t>
  </si>
  <si>
    <t>SCEN-18</t>
  </si>
  <si>
    <t>Servizio di sicurezza centralizzata associata al profilo sel servizio di trasporto STDS-2</t>
  </si>
  <si>
    <t>SCEN-19</t>
  </si>
  <si>
    <t>Servizio di sicurezza centralizzata associata al profilo sel servizio di trasporto STDS-3</t>
  </si>
  <si>
    <t>SCEN-20</t>
  </si>
  <si>
    <t>Servizio di sicurezza centralizzata associata al profilo sel servizio di trasporto STDW</t>
  </si>
  <si>
    <t>SCEN-21</t>
  </si>
  <si>
    <t>Servizio di sicurezza centralizzata associata al profilo sel servizio di trasporto STDH-1</t>
  </si>
  <si>
    <t>SCEN-22</t>
  </si>
  <si>
    <t>Servizio di sicurezza centralizzata associata al profilo sel servizio di trasporto STDH-2</t>
  </si>
  <si>
    <t>SCEN-23</t>
  </si>
  <si>
    <t>Servizio di sicurezza centralizzata associata al profilo sel servizio di trasporto STDH-3</t>
  </si>
  <si>
    <t>SPUN-1-AACF</t>
  </si>
  <si>
    <t>Opzione Antivirus/Antispyware &amp; Content Filtering associata al profilo di servizio SPUN-1</t>
  </si>
  <si>
    <t>SPUN-2-AACF</t>
  </si>
  <si>
    <t>Opzione Antivirus/Antispyware &amp; Content Filtering associata al profilo di servizio SPUN-2</t>
  </si>
  <si>
    <t>SPUN-3-AACF</t>
  </si>
  <si>
    <t>Opzione Antivirus/Antispyware &amp; Content Filtering associata al profilo di servizio SPUN-3</t>
  </si>
  <si>
    <t>SPUN-4-AACF</t>
  </si>
  <si>
    <t>Opzione Antivirus/Antispyware &amp; Content Filtering associata al profilo di servizio SPUN-4</t>
  </si>
  <si>
    <t>SPUN-5-AACF</t>
  </si>
  <si>
    <t>Opzione Antivirus/Antispyware &amp; Content Filtering associata al profilo di servizio SPUN-5</t>
  </si>
  <si>
    <t>SPUN-6-AACF</t>
  </si>
  <si>
    <t>Opzione Antivirus/Antispyware &amp; Content Filtering associata al profilo di servizio SPUN-6</t>
  </si>
  <si>
    <t>SPUN-1-AFM</t>
  </si>
  <si>
    <t>Opzione Application Filtering &amp; Monitoring associata al profilo di servizio SPUN-1</t>
  </si>
  <si>
    <t>SPUN-2-AFM</t>
  </si>
  <si>
    <t>Opzione Application Filtering &amp; Monitoring associata al profilo di servizio SPUN-2</t>
  </si>
  <si>
    <t>SPUN-3-AFM</t>
  </si>
  <si>
    <t>Opzione Application Filtering &amp; Monitoring associata al profilo di servizio SPUN-3</t>
  </si>
  <si>
    <t>SPUN-4-AFM</t>
  </si>
  <si>
    <t>Opzione Application Filtering &amp; Monitoring associata al profilo di servizio SPUN-4</t>
  </si>
  <si>
    <t>SPUN-5-AFM</t>
  </si>
  <si>
    <t>Opzione Application Filtering &amp; Monitoring associata al profilo di servizio SPUN-5</t>
  </si>
  <si>
    <t>SPUN-6-AFM</t>
  </si>
  <si>
    <t>Opzione Application Filtering &amp; Monitoring associata al profilo di servizio SPUN-6</t>
  </si>
  <si>
    <t>SPUN-1-VPN</t>
  </si>
  <si>
    <t>Opzione Accesso remoto sicuro VPN associata al profilo di servizio SPUN-1</t>
  </si>
  <si>
    <t>SPUN-2-VPN</t>
  </si>
  <si>
    <t>Opzione Accesso remoto sicuro VPN associata al profilo di servizio SPUN-2</t>
  </si>
  <si>
    <t>SPUN-3-VPN</t>
  </si>
  <si>
    <t>Opzione Accesso remoto sicuro VPN associata al profilo di servizio SPUN-3</t>
  </si>
  <si>
    <t>SPUN-4-VPN</t>
  </si>
  <si>
    <t>Opzione Accesso remoto sicuro VPN associata al profilo di servizio SPUN-4</t>
  </si>
  <si>
    <t>SPUN-5-VPN</t>
  </si>
  <si>
    <t>Opzione Accesso remoto sicuro VPN associata al profilo di servizio SPUN-5</t>
  </si>
  <si>
    <t>SPUN-6-VPN</t>
  </si>
  <si>
    <t>Opzione Accesso remoto sicuro VPN associata al profilo di servizio SPUN-6</t>
  </si>
  <si>
    <t>SSP-AE</t>
  </si>
  <si>
    <t>Opzione affidabilità elevata associata ai servizi di sicurezza perimetrale</t>
  </si>
  <si>
    <t xml:space="preserve">SSP-FE </t>
  </si>
  <si>
    <t>Opzione finestra di erogazione estesa  associata ai servizi di sicurezza perimetrale</t>
  </si>
  <si>
    <t>SSP-AEFE</t>
  </si>
  <si>
    <t>Opzione Affidabilità elevata e Finestra di erogazione estesa  associata ai servizi di sicurezza perimetrale</t>
  </si>
  <si>
    <t>Servizi di Centralino IP - 30 utenze</t>
  </si>
  <si>
    <t>Servizi di Centralino IP - Da 31 a 100 utenze</t>
  </si>
  <si>
    <t>Servizi di Centralino IP - Da 101 a 300 utenze</t>
  </si>
  <si>
    <t>Servizi di Centralino IP - Oltre 300 utenze</t>
  </si>
  <si>
    <t>Servizi di Gateway IP - 30 utenze</t>
  </si>
  <si>
    <t>Servizi di Gateway IP - Da 31 a 100 utenze</t>
  </si>
  <si>
    <t>Servizi di Gateway IP - Da 101 a 300 utenze</t>
  </si>
  <si>
    <t>Servizi di Gateway IP - Oltre 300 utenze</t>
  </si>
  <si>
    <t>Servizi di Gateway TDM - 30 utenze</t>
  </si>
  <si>
    <t>Servizi di Gateway TDM - Da 31 a 100 utenze</t>
  </si>
  <si>
    <t>Servizi di Gateway TDM - Da 101 a 300 utenze</t>
  </si>
  <si>
    <t>Servizi di Gateway TDM - Oltre 300 utenze</t>
  </si>
  <si>
    <t>Servizi di Resilienza Periferica RESI - 30 utenze</t>
  </si>
  <si>
    <t>Servizi di Resilienza Periferica - Da 31 a 100 utenze</t>
  </si>
  <si>
    <t>Servizi di Resilienza Periferica- Da 101 a 300 utenze</t>
  </si>
  <si>
    <t>Servizi di Resilienza Periferica - Oltre 300 utenze</t>
  </si>
  <si>
    <t>Soft-phone</t>
  </si>
  <si>
    <t>Telefono IP wired – Entry level model</t>
  </si>
  <si>
    <t>Telefono IP wired – Top level model</t>
  </si>
  <si>
    <t>Telefono IP wireless</t>
  </si>
  <si>
    <t>Postazione audio-conference per il servizio VoIP</t>
  </si>
  <si>
    <t>Postazione operatore SW per il servizio VoIP</t>
  </si>
  <si>
    <t>Postazione operatore ipo-vedente per il servizio VoIP</t>
  </si>
  <si>
    <t>Postazione operatore non vedente per il servizio VoIP</t>
  </si>
  <si>
    <t>ENIP-9</t>
  </si>
  <si>
    <t>Analog Terminal Adapter (ATA) per il servizio VoIP</t>
  </si>
  <si>
    <t>Servizi di Gestione dell’Infrastruttura di Telepresenza in modalità Hosted con postazione SD</t>
  </si>
  <si>
    <t>Servizi di Gestione dell’Infrastruttura di Telepresenza in modalità Hosted con postazione HD</t>
  </si>
  <si>
    <t>Servizi di Gestione dell’Infrastruttura di Telepresenza in modalità Managed on-site</t>
  </si>
  <si>
    <t>Client SW per PC per i servizi di telepresenza</t>
  </si>
  <si>
    <t>Client SW per dispositivi mobili per i servizi di telepresenza</t>
  </si>
  <si>
    <t>Postazione da tavolo per i servizi di telepresenza</t>
  </si>
  <si>
    <t>Postazione base per i servizi di telepresenza</t>
  </si>
  <si>
    <t>Postazione evoluta per i servizi di telepresenza</t>
  </si>
  <si>
    <t>CEIP-1-ST</t>
  </si>
  <si>
    <t>Opzione segreteria telefonica associata al profilo CEIP-1</t>
  </si>
  <si>
    <t>CEIP-2-ST</t>
  </si>
  <si>
    <t>Opzione segreteria telefonica associata al profilo CEIP-2</t>
  </si>
  <si>
    <t>CEIP-3-ST</t>
  </si>
  <si>
    <t>Opzione segreteria telefonica associata al profilo CEIP-3</t>
  </si>
  <si>
    <t>CEIP-4-ST</t>
  </si>
  <si>
    <t>Opzione segreteria telefonica associata al profilo CEIP-4</t>
  </si>
  <si>
    <t>CEIP-1-BR</t>
  </si>
  <si>
    <t>Opzione breakout associata al profilo CEIP-1</t>
  </si>
  <si>
    <t>CEIP-2-BR</t>
  </si>
  <si>
    <t>Opzione breakout associata al profilo CEIP-2</t>
  </si>
  <si>
    <t>CEIP-3-BR</t>
  </si>
  <si>
    <t>Opzione breakout associata al profilo CEIP-3</t>
  </si>
  <si>
    <t>CEIP-4-BR</t>
  </si>
  <si>
    <t>Opzione breakout associata al profilo CEIP-4</t>
  </si>
  <si>
    <t>RESI-1-BR</t>
  </si>
  <si>
    <t>Opzione breakout associata al profilo RESI-1</t>
  </si>
  <si>
    <t>RESI-2-BR</t>
  </si>
  <si>
    <t>Opzione breakout associata al profilo RESI-2</t>
  </si>
  <si>
    <t>RESI-3-BR</t>
  </si>
  <si>
    <t>Opzione breakout associata al profilo RESI-3</t>
  </si>
  <si>
    <t>RESI-4-BR</t>
  </si>
  <si>
    <t>Opzione breakout associata al profilo RESI-4</t>
  </si>
  <si>
    <t>ITEP-1-RS</t>
  </si>
  <si>
    <t>Opzione registrazione delle sessioni associata al profilo ITEP-1</t>
  </si>
  <si>
    <t>ITEP-2-RS</t>
  </si>
  <si>
    <t>Opzione registrazione delle sessioni associata al profilo ITEP-2</t>
  </si>
  <si>
    <t>SCOE-AE</t>
  </si>
  <si>
    <t>Opzione affidabilità elevata associata ai servizi di comunicazione evoluta</t>
  </si>
  <si>
    <t xml:space="preserve">SCOE-FE </t>
  </si>
  <si>
    <t>Opzione finestra di erogazione estesa  associata ai servizi di comunicazione evoluta</t>
  </si>
  <si>
    <t>SCOE-AEFE</t>
  </si>
  <si>
    <t>Opzione Affidabilità elevata e Finestra di erogazione estesa  associata ai servizi di comunicazione evoluta</t>
  </si>
  <si>
    <t>Supporto al servizio di trasporto con profilo STRA-1: Team Leader</t>
  </si>
  <si>
    <t>Supporto al servizio di trasporto con profilo STRA-1: Specialista Senior</t>
  </si>
  <si>
    <t>Supporto al servizio di trasporto con profilo STRA-1: Specialista</t>
  </si>
  <si>
    <t>Supporto al servizio di trasporto con profilo STRA-2: Team Leader</t>
  </si>
  <si>
    <t>Supporto al servizio di trasporto con profilo STRA-2: Specialista Senior</t>
  </si>
  <si>
    <t>Supporto al servizio di trasporto con profilo STRA-2: Specialista</t>
  </si>
  <si>
    <t>Supporto al servizio di sicurezza con profilo SSIC-1: Team Leader</t>
  </si>
  <si>
    <t>Supporto al servizio di sicurezza con profilo SSIC-1: Specialista Senior</t>
  </si>
  <si>
    <t>Supporto al servizio di sicurezza con profilo SSIC-1: Specialista</t>
  </si>
  <si>
    <t>Supporto al servizio di sicurezza con profilo SSIC-2: Team Leader</t>
  </si>
  <si>
    <t>Supporto al servizio di sicurezza con profilo SSIC-2: Specialista Senior</t>
  </si>
  <si>
    <t>Supporto al servizio di sicurezza con profilo SSIC-2: Specialista</t>
  </si>
  <si>
    <t>Supporto al servizio di sicurezza con profilo SSIC-3: Team Leader</t>
  </si>
  <si>
    <t>Supporto al servizio di sicurezza con profilo SSIC-3: Specialista Senior</t>
  </si>
  <si>
    <t>Supporto al servizio di sicurezza con profilo SSIC-3: Specialista</t>
  </si>
  <si>
    <t>Supporto al servizio di sicurezza con profilo SSIC-4: Team Leader</t>
  </si>
  <si>
    <t>Supporto al servizio di sicurezza con profilo SSIC-4: Specialista Senior</t>
  </si>
  <si>
    <t>Supporto al servizio di sicurezza con profilo SSIC-4: Specialista</t>
  </si>
  <si>
    <t>Supporto al servizio di comunicazione evoluta: Team Leader</t>
  </si>
  <si>
    <t>Supporto al servizio di comunicazione evoluta: Specialista Senior</t>
  </si>
  <si>
    <t>Supporto al servizio di comunicazione evoluta: Specialista</t>
  </si>
  <si>
    <t>Formazione On Site con profilo di servizio FONS-1</t>
  </si>
  <si>
    <t>Formazione On Site con profilo di servizio FONS-2</t>
  </si>
  <si>
    <t>Formazione On Site con profilo di servizio FONS-3</t>
  </si>
  <si>
    <t>Formazione da Remoto con profilo di servizio FREM-1</t>
  </si>
  <si>
    <t>Formazione da Remoto con profilo di servizio FREM-2</t>
  </si>
  <si>
    <t>Canone Mensile
(Iva esclusa)</t>
  </si>
  <si>
    <t>SERVIZI DI TRASPORTO DATI (STD)</t>
  </si>
  <si>
    <t>SERVIZIO DI POSTA ELETTRONICA (SPE)</t>
  </si>
  <si>
    <t>SERVIZI DI SICUREZZA PERIMETRALE (SSP)</t>
  </si>
  <si>
    <t>SERVIZI DI COMUNICAZIONE EVOLUTA (SCOE)</t>
  </si>
  <si>
    <t>SERVIZI DI SUPPORTO PROFESSIONALE (SSUP)</t>
  </si>
  <si>
    <t>Una Tantum Incremento %
[%]</t>
  </si>
  <si>
    <t>Canone Mensile Incremento %
[%]</t>
  </si>
  <si>
    <t>Controllo multiambito</t>
  </si>
  <si>
    <t>SCEN</t>
  </si>
  <si>
    <t>Affidabilità Elevata + Finestra di erogazione estesa</t>
  </si>
  <si>
    <t>N° Utenze</t>
  </si>
  <si>
    <t>N °canali a 64kbps</t>
  </si>
  <si>
    <t>Segreteria telefonica
N° Utenze</t>
  </si>
  <si>
    <t>Breakout
N° coppie di canali a 64 kbps</t>
  </si>
  <si>
    <t>N Utenze</t>
  </si>
  <si>
    <t>N postazioni</t>
  </si>
  <si>
    <t>Canone Mensile 
(Iva esclusa)</t>
  </si>
  <si>
    <t>AMT</t>
  </si>
  <si>
    <t>BT</t>
  </si>
  <si>
    <t>CLIO</t>
  </si>
  <si>
    <t>FASTWEB</t>
  </si>
  <si>
    <t>TELECOM</t>
  </si>
  <si>
    <t>VODAFONE</t>
  </si>
  <si>
    <t>WIND</t>
  </si>
  <si>
    <t>Una Tantum
(IVA Esclusa)
[€]</t>
  </si>
  <si>
    <t>Canone Mensile
(IVA Esclusa)
[€]</t>
  </si>
  <si>
    <t>Costo Totale</t>
  </si>
  <si>
    <t>UT STD</t>
  </si>
  <si>
    <t>UT SPE</t>
  </si>
  <si>
    <t>UT SSP</t>
  </si>
  <si>
    <t>UT SCOE</t>
  </si>
  <si>
    <t>UT SSUP</t>
  </si>
  <si>
    <t>CM STD</t>
  </si>
  <si>
    <t>CM SPE</t>
  </si>
  <si>
    <t>CM SSP</t>
  </si>
  <si>
    <t>CM SCOE</t>
  </si>
  <si>
    <t>OFFERTA</t>
  </si>
  <si>
    <t>-</t>
  </si>
  <si>
    <t>Note generali</t>
  </si>
  <si>
    <t>Se si intende richiedere un servizio SCEN nel campo Cod. occorre inserire DC FSR.</t>
  </si>
  <si>
    <t>BT ITALIA</t>
  </si>
  <si>
    <t>TELECOM ITALIA</t>
  </si>
  <si>
    <t>VALORE MASSIMO OFFERTA</t>
  </si>
  <si>
    <t>TOTALE
(Iva esclusa)</t>
  </si>
  <si>
    <t>Durata del Contratto Esecutivo 
(mesi)</t>
  </si>
  <si>
    <t>Avvalendosi delle informazioni contenute in questo foglio le singole Amministrazioni determineranno autonomamente la base d’asta per il rilancio del confronto competitivo tra gli operatori economici sottoscrittori dell’Accordo Quadro, sulla base delle proprie valutazioni tecnico-economiche.
Il foglio "Listino Offerta" dovrà essere compilato dai concorrenti che non potranno comunque indicare prezzi unitari superiori a quelli offerti ai fini dell’aggiudicazione dell’Accordo Quadro.
Nel foglio "Riepilogo Costi Contratto" sono indicati i prezzi delle Una Tantum di attivazione e dei canoni mensili per le tipologie di servizio richieste e il totale complessivamente offerto dal concorrente.</t>
  </si>
  <si>
    <t>In questo foglio l'Ente dovrà solo indicare i mesi di durata del Contratto Esecutivo.</t>
  </si>
  <si>
    <t>Base d'asta</t>
  </si>
  <si>
    <t>L'Ente dovrà indicare i propri fabbisogni provvedendo a compilare i fogli "Dati generali-anagrafici", "Servizi di Trasporto Dati", "Servizi di Sicurezza Perimetr.", "Servizi Com. Evoluta - VoIP", "Servizi Com. Evoluta-Telepres." e "Servizi di Supp. Professionale" e verificando che nelle caselle Controllo Errori non risulti alcun errore.
Il foglio "Listini" contiene l'elenco con la descrizione di tutti i profili di servizio e il costo offerto da ciascun aggiudicatario dell’Accordo Quadro per l'erogazione degli stessi.
Tenendo conto del fatto che ciascun concorrente non può presentare nell’Offerta Economica prezzi unitari superiori a quanto offerto ai fini dell’aggiudicazione dell’Accordo Quadro, nel foglio "Base d'Asta" viene calcolato automaticamente il valore massimo del prezzo che ciascun concorrente potrà offrire relativamente ai servizi e alle rispettive quantità richiesti.</t>
  </si>
  <si>
    <t>100 Mbps</t>
  </si>
  <si>
    <t>200 Mbps</t>
  </si>
  <si>
    <t>300 Mbps</t>
  </si>
  <si>
    <t>600 Mbps</t>
  </si>
  <si>
    <t>1 Gbps</t>
  </si>
  <si>
    <t>2,5 Gbps</t>
  </si>
  <si>
    <t>5 Gbps</t>
  </si>
  <si>
    <t>10 Gbps</t>
  </si>
  <si>
    <t>32/32 Kbps</t>
  </si>
  <si>
    <t>64/32 Kbps</t>
  </si>
  <si>
    <t>128/64 Kbps</t>
  </si>
  <si>
    <t>1 Mbps</t>
  </si>
  <si>
    <t>2 Mbps</t>
  </si>
  <si>
    <t>4 Mbps</t>
  </si>
  <si>
    <t>5 Mbps</t>
  </si>
  <si>
    <t>50 Mbps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</si>
</sst>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 numFmtId="165" formatCode="&quot;€ &quot;#,##0.00"/>
    <numFmt numFmtId="166" formatCode="[$€-410]\ #,##0.00;[Red]\-[$€-410]\ #,##0.00"/>
    <numFmt numFmtId="167" formatCode="&quot;€ &quot;#,##0.00;[Red]&quot;-€ &quot;#,##0.00"/>
    <numFmt numFmtId="168" formatCode="_-[$€-410]\ * #,##0.00_-;\-[$€-410]\ * #,##0.00_-;_-[$€-410]\ * &quot;-&quot;??_-;_-@_-"/>
    <numFmt numFmtId="169" formatCode="_-* #,##0_-;\-* #,##0_-;_-* &quot;-&quot;??_-;_-@_-"/>
    <numFmt numFmtId="170" formatCode="_-* #,##0.000000_-;\-* #,##0.000000_-;_-* &quot;-&quot;??_-;_-@_-"/>
    <numFmt numFmtId="171" formatCode="_-* #,##0.000000_-;\-* #,##0.000000_-;_-* &quot;-&quot;_-;_-@_-"/>
    <numFmt numFmtId="172" formatCode="_-* #,##0.0000_-;\-* #,##0.0000_-;_-* &quot;-&quot;??_-;_-@_-"/>
    <numFmt numFmtId="173" formatCode="_-* #,##0.0000000_-;\-* #,##0.0000000_-;_-* &quot;-&quot;??_-;_-@_-"/>
    <numFmt numFmtId="174" formatCode="_-* #,##0.00000000_-;\-* #,##0.00000000_-;_-* &quot;-&quot;??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quot;\ #,##0.00"/>
  </numFmts>
  <fonts count="37">
    <font>
      <sz val="10"/>
      <name val="Arial"/>
      <family val="2"/>
    </font>
    <font>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sz val="10"/>
      <name val="Arial"/>
      <family val="2"/>
    </font>
    <font>
      <i/>
      <sz val="8"/>
      <name val="Arial"/>
      <family val="2"/>
    </font>
    <font>
      <sz val="12"/>
      <name val="Arial"/>
      <family val="2"/>
    </font>
    <font>
      <b/>
      <sz val="12"/>
      <name val="Arial"/>
      <family val="2"/>
    </font>
    <font>
      <b/>
      <sz val="8"/>
      <name val="Arial"/>
      <family val="2"/>
    </font>
    <font>
      <u val="single"/>
      <sz val="10"/>
      <color indexed="12"/>
      <name val="Arial"/>
      <family val="2"/>
    </font>
    <font>
      <b/>
      <u val="single"/>
      <sz val="12"/>
      <name val="Arial"/>
      <family val="2"/>
    </font>
    <font>
      <b/>
      <sz val="8"/>
      <color indexed="8"/>
      <name val="Tahoma"/>
      <family val="2"/>
    </font>
    <font>
      <b/>
      <sz val="12"/>
      <color indexed="9"/>
      <name val="Arial"/>
      <family val="2"/>
    </font>
    <font>
      <b/>
      <sz val="10"/>
      <color indexed="9"/>
      <name val="Arial"/>
      <family val="2"/>
    </font>
    <font>
      <sz val="10"/>
      <name val="Helv"/>
      <family val="0"/>
    </font>
    <font>
      <u val="single"/>
      <sz val="9.9"/>
      <color indexed="36"/>
      <name val="Calibri"/>
      <family val="2"/>
    </font>
    <font>
      <sz val="10"/>
      <color indexed="8"/>
      <name val="Arial"/>
      <family val="2"/>
    </font>
    <font>
      <sz val="9"/>
      <name val="Arial"/>
      <family val="2"/>
    </font>
    <font>
      <sz val="8"/>
      <name val="Calibri"/>
      <family val="2"/>
    </font>
    <font>
      <b/>
      <sz val="10"/>
      <color indexed="8"/>
      <name val="Arial"/>
      <family val="2"/>
    </font>
    <font>
      <sz val="8"/>
      <name val="Tahoma"/>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1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22"/>
        <bgColor indexed="64"/>
      </patternFill>
    </fill>
    <fill>
      <patternFill patternType="solid">
        <fgColor indexed="9"/>
        <bgColor indexed="64"/>
      </patternFill>
    </fill>
    <fill>
      <patternFill patternType="lightUp">
        <bgColor indexed="43"/>
      </patternFill>
    </fill>
    <fill>
      <patternFill patternType="lightUp"/>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5"/>
        <bgColor indexed="64"/>
      </patternFill>
    </fill>
  </fills>
  <borders count="1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medium"/>
      <right>
        <color indexed="63"/>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right style="thin"/>
      <top style="thin"/>
      <bottom style="medium"/>
    </border>
    <border>
      <left style="medium"/>
      <right>
        <color indexed="63"/>
      </right>
      <top style="thin">
        <color indexed="8"/>
      </top>
      <bottom style="medium"/>
    </border>
    <border>
      <left style="thin">
        <color indexed="8"/>
      </left>
      <right style="thin">
        <color indexed="8"/>
      </right>
      <top style="thin">
        <color indexed="8"/>
      </top>
      <bottom style="medium"/>
    </border>
    <border>
      <left style="thin"/>
      <right style="thin"/>
      <top>
        <color indexed="63"/>
      </top>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color indexed="63"/>
      </top>
      <bottom style="medium"/>
    </border>
    <border>
      <left style="medium"/>
      <right style="thin"/>
      <top style="medium"/>
      <bottom style="thin"/>
    </border>
    <border>
      <left style="thin"/>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color indexed="8"/>
      </bottom>
    </border>
    <border>
      <left style="thin"/>
      <right>
        <color indexed="63"/>
      </right>
      <top style="thin"/>
      <bottom style="thin"/>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top style="medium"/>
      <bottom style="medium"/>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color indexed="63"/>
      </left>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medium"/>
    </border>
    <border>
      <left style="thin">
        <color indexed="8"/>
      </left>
      <right>
        <color indexed="63"/>
      </right>
      <top style="thin">
        <color indexed="8"/>
      </top>
      <bottom style="medium"/>
    </border>
    <border>
      <left>
        <color indexed="63"/>
      </left>
      <right style="medium"/>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thin"/>
      <bottom>
        <color indexed="63"/>
      </bottom>
    </border>
    <border>
      <left style="thin"/>
      <right style="thin"/>
      <top style="medium"/>
      <bottom>
        <color indexed="63"/>
      </bottom>
    </border>
    <border>
      <left style="thin"/>
      <right/>
      <top style="thin"/>
      <bottom style="thin"/>
    </border>
    <border>
      <left style="thin">
        <color indexed="8"/>
      </left>
      <right style="medium">
        <color indexed="8"/>
      </right>
      <top>
        <color indexed="63"/>
      </top>
      <bottom style="medium">
        <color indexed="8"/>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style="medium"/>
      <top style="medium"/>
      <bottom style="medium"/>
    </border>
    <border>
      <left style="thin"/>
      <right style="medium"/>
      <top>
        <color indexed="63"/>
      </top>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color indexed="63"/>
      </left>
      <right style="thin"/>
      <top style="medium">
        <color indexed="8"/>
      </top>
      <bottom style="thin"/>
    </border>
    <border>
      <left>
        <color indexed="63"/>
      </left>
      <right style="thin">
        <color indexed="8"/>
      </right>
      <top style="thin"/>
      <bottom style="medium"/>
    </border>
    <border>
      <left style="thin">
        <color indexed="8"/>
      </left>
      <right style="medium">
        <color indexed="8"/>
      </right>
      <top style="thin">
        <color indexed="8"/>
      </top>
      <bottom style="medium"/>
    </border>
    <border>
      <left>
        <color indexed="63"/>
      </left>
      <right style="thin">
        <color indexed="8"/>
      </right>
      <top style="thin">
        <color indexed="8"/>
      </top>
      <bottom style="medium"/>
    </border>
    <border>
      <left style="medium">
        <color indexed="8"/>
      </left>
      <right style="medium">
        <color indexed="8"/>
      </right>
      <top style="thin">
        <color indexed="8"/>
      </top>
      <bottom style="medium"/>
    </border>
    <border>
      <left>
        <color indexed="63"/>
      </left>
      <right>
        <color indexed="63"/>
      </right>
      <top style="thin"/>
      <bottom style="thin"/>
    </border>
    <border>
      <left>
        <color indexed="63"/>
      </left>
      <right style="thin">
        <color indexed="8"/>
      </right>
      <top>
        <color indexed="63"/>
      </top>
      <bottom>
        <color indexed="63"/>
      </bottom>
    </border>
    <border>
      <left style="thin">
        <color indexed="8"/>
      </left>
      <right>
        <color indexed="63"/>
      </right>
      <top style="medium"/>
      <bottom style="medium"/>
    </border>
    <border>
      <left>
        <color indexed="63"/>
      </left>
      <right style="thin">
        <color indexed="8"/>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style="thin">
        <color indexed="8"/>
      </left>
      <right style="thin">
        <color indexed="8"/>
      </right>
      <top>
        <color indexed="63"/>
      </top>
      <bottom style="mediu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bottom style="medium"/>
    </border>
    <border>
      <left>
        <color indexed="63"/>
      </left>
      <right style="thin">
        <color indexed="8"/>
      </right>
      <top style="medium"/>
      <bottom style="mediu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medium"/>
      <top style="medium"/>
      <bottom>
        <color indexed="63"/>
      </bottom>
    </border>
    <border>
      <left style="thin">
        <color indexed="8"/>
      </left>
      <right style="medium"/>
      <top>
        <color indexed="63"/>
      </top>
      <bottom>
        <color indexed="63"/>
      </bottom>
    </border>
    <border>
      <left style="thin">
        <color indexed="8"/>
      </left>
      <right style="medium"/>
      <top>
        <color indexed="63"/>
      </top>
      <bottom style="medium"/>
    </border>
    <border>
      <left style="medium">
        <color indexed="8"/>
      </left>
      <right style="medium">
        <color indexed="8"/>
      </right>
      <top style="medium">
        <color indexed="8"/>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style="thin"/>
      <right style="thin"/>
      <top style="thin">
        <color indexed="8"/>
      </top>
      <bottom style="mediu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33" borderId="0" applyNumberFormat="0" applyBorder="0" applyAlignment="0" applyProtection="0"/>
    <xf numFmtId="0" fontId="17" fillId="3" borderId="0" applyNumberFormat="0" applyBorder="0" applyAlignment="0" applyProtection="0"/>
    <xf numFmtId="0" fontId="4" fillId="34" borderId="1" applyNumberFormat="0" applyAlignment="0" applyProtection="0"/>
    <xf numFmtId="0" fontId="4" fillId="35" borderId="1" applyNumberFormat="0" applyAlignment="0" applyProtection="0"/>
    <xf numFmtId="0" fontId="5" fillId="0" borderId="2" applyNumberFormat="0" applyFill="0" applyAlignment="0" applyProtection="0"/>
    <xf numFmtId="0" fontId="6" fillId="36" borderId="3" applyNumberFormat="0" applyAlignment="0" applyProtection="0"/>
    <xf numFmtId="0" fontId="6" fillId="37" borderId="3" applyNumberFormat="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164" fontId="0" fillId="0" borderId="0" applyFill="0" applyBorder="0" applyAlignment="0" applyProtection="0"/>
    <xf numFmtId="164" fontId="0" fillId="0" borderId="0" applyFill="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7" fillId="13" borderId="1" applyNumberFormat="0" applyAlignment="0" applyProtection="0"/>
    <xf numFmtId="0" fontId="5" fillId="0" borderId="2" applyNumberFormat="0" applyFill="0" applyAlignment="0" applyProtection="0"/>
    <xf numFmtId="43"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0" fontId="8" fillId="42" borderId="0" applyNumberFormat="0" applyBorder="0" applyAlignment="0" applyProtection="0"/>
    <xf numFmtId="0" fontId="8" fillId="43"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44" borderId="7" applyNumberFormat="0" applyAlignment="0" applyProtection="0"/>
    <xf numFmtId="0" fontId="2" fillId="45" borderId="7" applyNumberFormat="0" applyFont="0" applyAlignment="0" applyProtection="0"/>
    <xf numFmtId="0" fontId="9" fillId="34" borderId="8" applyNumberFormat="0" applyAlignment="0" applyProtection="0"/>
    <xf numFmtId="9" fontId="0" fillId="0" borderId="0" applyFill="0" applyBorder="0" applyAlignment="0" applyProtection="0"/>
    <xf numFmtId="9" fontId="0" fillId="0" borderId="0" applyFont="0" applyFill="0" applyBorder="0" applyAlignment="0" applyProtection="0"/>
    <xf numFmtId="0" fontId="0" fillId="0" borderId="0">
      <alignment/>
      <protection/>
    </xf>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7" fillId="9" borderId="0" applyNumberFormat="0" applyBorder="0" applyAlignment="0" applyProtection="0"/>
    <xf numFmtId="0" fontId="18" fillId="1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4" fontId="2" fillId="0" borderId="0" applyFont="0" applyFill="0" applyBorder="0" applyAlignment="0" applyProtection="0"/>
    <xf numFmtId="44" fontId="0" fillId="0" borderId="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cellStyleXfs>
  <cellXfs count="464">
    <xf numFmtId="0" fontId="0" fillId="0" borderId="0" xfId="0" applyAlignment="1">
      <alignment/>
    </xf>
    <xf numFmtId="0" fontId="19"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justify"/>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4" borderId="11" xfId="0" applyFill="1" applyBorder="1" applyAlignment="1" applyProtection="1">
      <alignment horizontal="justify"/>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20" fillId="34" borderId="0" xfId="0" applyFont="1" applyFill="1" applyBorder="1" applyAlignment="1" applyProtection="1">
      <alignment/>
      <protection hidden="1"/>
    </xf>
    <xf numFmtId="0" fontId="0" fillId="34" borderId="0" xfId="0" applyFill="1" applyBorder="1" applyAlignment="1" applyProtection="1">
      <alignment horizontal="justify"/>
      <protection hidden="1"/>
    </xf>
    <xf numFmtId="0" fontId="0" fillId="34" borderId="14" xfId="0" applyFill="1" applyBorder="1" applyAlignment="1" applyProtection="1">
      <alignment/>
      <protection hidden="1"/>
    </xf>
    <xf numFmtId="0" fontId="0" fillId="34" borderId="0" xfId="0" applyFill="1" applyBorder="1" applyAlignment="1" applyProtection="1">
      <alignment/>
      <protection hidden="1"/>
    </xf>
    <xf numFmtId="0" fontId="0" fillId="34" borderId="0" xfId="0" applyFill="1" applyBorder="1" applyAlignment="1" applyProtection="1">
      <alignment horizontal="justify" wrapText="1"/>
      <protection hidden="1"/>
    </xf>
    <xf numFmtId="0" fontId="21" fillId="0" borderId="0" xfId="0" applyFont="1" applyAlignment="1" applyProtection="1">
      <alignment/>
      <protection hidden="1"/>
    </xf>
    <xf numFmtId="0" fontId="22" fillId="0" borderId="0" xfId="0" applyFont="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0" fillId="34" borderId="16" xfId="0" applyFill="1" applyBorder="1" applyAlignment="1" applyProtection="1">
      <alignment horizontal="justify"/>
      <protection hidden="1"/>
    </xf>
    <xf numFmtId="0" fontId="0" fillId="34" borderId="17" xfId="0" applyFill="1" applyBorder="1" applyAlignment="1" applyProtection="1">
      <alignment/>
      <protection hidden="1"/>
    </xf>
    <xf numFmtId="0" fontId="19" fillId="34" borderId="13" xfId="0" applyFont="1" applyFill="1" applyBorder="1" applyAlignment="1" applyProtection="1">
      <alignment/>
      <protection hidden="1"/>
    </xf>
    <xf numFmtId="0" fontId="19" fillId="34" borderId="0" xfId="0" applyFont="1" applyFill="1" applyBorder="1" applyAlignment="1" applyProtection="1">
      <alignment/>
      <protection hidden="1"/>
    </xf>
    <xf numFmtId="0" fontId="19" fillId="34" borderId="14" xfId="0" applyFont="1" applyFill="1" applyBorder="1" applyAlignment="1" applyProtection="1">
      <alignment/>
      <protection hidden="1"/>
    </xf>
    <xf numFmtId="0" fontId="23" fillId="34"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4" fillId="34" borderId="0" xfId="0" applyFont="1" applyFill="1" applyBorder="1" applyAlignment="1" applyProtection="1">
      <alignment/>
      <protection hidden="1"/>
    </xf>
    <xf numFmtId="0" fontId="19" fillId="34" borderId="0" xfId="0" applyFont="1" applyFill="1" applyBorder="1" applyAlignment="1" applyProtection="1">
      <alignment horizontal="right"/>
      <protection hidden="1"/>
    </xf>
    <xf numFmtId="0" fontId="19" fillId="34" borderId="15" xfId="0" applyFont="1" applyFill="1" applyBorder="1" applyAlignment="1" applyProtection="1">
      <alignment/>
      <protection hidden="1"/>
    </xf>
    <xf numFmtId="0" fontId="19" fillId="34" borderId="16" xfId="0" applyFont="1" applyFill="1" applyBorder="1" applyAlignment="1" applyProtection="1">
      <alignment/>
      <protection hidden="1"/>
    </xf>
    <xf numFmtId="0" fontId="22" fillId="34" borderId="16" xfId="0" applyFont="1" applyFill="1" applyBorder="1" applyAlignment="1" applyProtection="1">
      <alignment/>
      <protection hidden="1"/>
    </xf>
    <xf numFmtId="0" fontId="19" fillId="34" borderId="17" xfId="0" applyFont="1" applyFill="1" applyBorder="1" applyAlignment="1" applyProtection="1">
      <alignment/>
      <protection hidden="1"/>
    </xf>
    <xf numFmtId="0" fontId="19" fillId="34" borderId="10" xfId="0" applyFont="1" applyFill="1" applyBorder="1" applyAlignment="1" applyProtection="1">
      <alignment/>
      <protection hidden="1"/>
    </xf>
    <xf numFmtId="0" fontId="19" fillId="34" borderId="11" xfId="0" applyFont="1" applyFill="1" applyBorder="1" applyAlignment="1" applyProtection="1">
      <alignment/>
      <protection hidden="1"/>
    </xf>
    <xf numFmtId="0" fontId="19" fillId="34" borderId="12" xfId="0" applyFont="1" applyFill="1" applyBorder="1" applyAlignment="1" applyProtection="1">
      <alignment/>
      <protection hidden="1"/>
    </xf>
    <xf numFmtId="0" fontId="26" fillId="34" borderId="0" xfId="0" applyFont="1" applyFill="1" applyBorder="1" applyAlignment="1" applyProtection="1">
      <alignment/>
      <protection hidden="1"/>
    </xf>
    <xf numFmtId="0" fontId="0" fillId="0" borderId="18"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22" fillId="34" borderId="14" xfId="0" applyFont="1" applyFill="1" applyBorder="1" applyAlignment="1" applyProtection="1">
      <alignment horizontal="left"/>
      <protection hidden="1"/>
    </xf>
    <xf numFmtId="0" fontId="0" fillId="0" borderId="0" xfId="0" applyFont="1" applyAlignment="1" applyProtection="1">
      <alignment horizontal="left"/>
      <protection hidden="1"/>
    </xf>
    <xf numFmtId="0" fontId="19"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Border="1" applyAlignment="1" applyProtection="1">
      <alignment horizontal="left"/>
      <protection hidden="1"/>
    </xf>
    <xf numFmtId="0" fontId="0" fillId="0" borderId="0" xfId="0" applyAlignment="1" applyProtection="1">
      <alignment vertical="center"/>
      <protection hidden="1"/>
    </xf>
    <xf numFmtId="0" fontId="0" fillId="0" borderId="0" xfId="0" applyFill="1" applyBorder="1" applyAlignment="1" applyProtection="1">
      <alignment vertical="center"/>
      <protection hidden="1"/>
    </xf>
    <xf numFmtId="0" fontId="20" fillId="0" borderId="0" xfId="15" applyFont="1" applyFill="1" applyBorder="1" applyAlignment="1" applyProtection="1">
      <alignment horizontal="right" vertical="center"/>
      <protection hidden="1"/>
    </xf>
    <xf numFmtId="0" fontId="0" fillId="0" borderId="0" xfId="0" applyFill="1" applyBorder="1" applyAlignment="1" applyProtection="1">
      <alignment vertical="center" wrapText="1"/>
      <protection hidden="1"/>
    </xf>
    <xf numFmtId="0" fontId="0" fillId="0" borderId="0" xfId="0" applyFont="1" applyAlignment="1" applyProtection="1">
      <alignment vertical="center"/>
      <protection hidden="1"/>
    </xf>
    <xf numFmtId="0" fontId="0" fillId="0" borderId="18" xfId="0" applyBorder="1" applyAlignment="1" applyProtection="1">
      <alignment horizontal="left"/>
      <protection locked="0"/>
    </xf>
    <xf numFmtId="0" fontId="19" fillId="0" borderId="0" xfId="0" applyFont="1" applyAlignment="1" applyProtection="1">
      <alignment horizontal="left" wrapText="1"/>
      <protection hidden="1"/>
    </xf>
    <xf numFmtId="0" fontId="19" fillId="0" borderId="0" xfId="0" applyFont="1" applyBorder="1" applyAlignment="1" applyProtection="1">
      <alignment/>
      <protection hidden="1"/>
    </xf>
    <xf numFmtId="0" fontId="0" fillId="0" borderId="26" xfId="0" applyBorder="1" applyAlignment="1" applyProtection="1">
      <alignment horizontal="left"/>
      <protection hidden="1"/>
    </xf>
    <xf numFmtId="0" fontId="20" fillId="0" borderId="0" xfId="0" applyFont="1" applyAlignment="1" applyProtection="1">
      <alignment/>
      <protection hidden="1"/>
    </xf>
    <xf numFmtId="0" fontId="20" fillId="0" borderId="0" xfId="0" applyFont="1" applyBorder="1" applyAlignment="1" applyProtection="1">
      <alignment/>
      <protection hidden="1"/>
    </xf>
    <xf numFmtId="0" fontId="20" fillId="0" borderId="26" xfId="0" applyFont="1" applyBorder="1" applyAlignment="1" applyProtection="1">
      <alignment/>
      <protection hidden="1"/>
    </xf>
    <xf numFmtId="0" fontId="19" fillId="0" borderId="0" xfId="0" applyFont="1" applyAlignment="1" applyProtection="1">
      <alignment wrapText="1"/>
      <protection hidden="1"/>
    </xf>
    <xf numFmtId="0" fontId="33" fillId="0" borderId="26" xfId="0" applyFont="1" applyBorder="1" applyAlignment="1" applyProtection="1">
      <alignment horizontal="left" wrapText="1"/>
      <protection hidden="1"/>
    </xf>
    <xf numFmtId="0" fontId="0" fillId="0" borderId="27" xfId="0" applyFont="1" applyBorder="1" applyAlignment="1" applyProtection="1">
      <alignment horizontal="left"/>
      <protection hidden="1"/>
    </xf>
    <xf numFmtId="0" fontId="0" fillId="0" borderId="28" xfId="0" applyFont="1" applyBorder="1" applyAlignment="1" applyProtection="1">
      <alignment horizontal="left"/>
      <protection hidden="1"/>
    </xf>
    <xf numFmtId="0" fontId="0" fillId="0" borderId="29" xfId="0" applyFont="1" applyBorder="1" applyAlignment="1" applyProtection="1">
      <alignment horizontal="left"/>
      <protection hidden="1"/>
    </xf>
    <xf numFmtId="0" fontId="33" fillId="0" borderId="30" xfId="0" applyFont="1" applyBorder="1" applyAlignment="1" applyProtection="1">
      <alignment horizontal="left" wrapText="1"/>
      <protection hidden="1"/>
    </xf>
    <xf numFmtId="0" fontId="29" fillId="46" borderId="31" xfId="0" applyFont="1" applyFill="1" applyBorder="1" applyAlignment="1" applyProtection="1">
      <alignment horizontal="center" vertical="center" wrapText="1"/>
      <protection hidden="1"/>
    </xf>
    <xf numFmtId="0" fontId="29" fillId="46" borderId="32" xfId="0" applyFont="1" applyFill="1" applyBorder="1" applyAlignment="1" applyProtection="1">
      <alignment horizontal="center" vertical="center" wrapText="1"/>
      <protection hidden="1"/>
    </xf>
    <xf numFmtId="0" fontId="0" fillId="42" borderId="30" xfId="0" applyFont="1" applyFill="1" applyBorder="1" applyAlignment="1" applyProtection="1">
      <alignment horizontal="left" vertical="center" wrapText="1"/>
      <protection hidden="1"/>
    </xf>
    <xf numFmtId="0" fontId="0" fillId="42" borderId="33" xfId="0" applyFont="1" applyFill="1" applyBorder="1" applyAlignment="1" applyProtection="1">
      <alignment horizontal="left" vertical="center" wrapText="1"/>
      <protection hidden="1"/>
    </xf>
    <xf numFmtId="0" fontId="32" fillId="0" borderId="26" xfId="0" applyFont="1" applyBorder="1" applyAlignment="1">
      <alignment vertical="center"/>
    </xf>
    <xf numFmtId="0" fontId="29" fillId="47" borderId="30" xfId="0" applyFont="1" applyFill="1" applyBorder="1" applyAlignment="1" applyProtection="1">
      <alignment horizontal="center" vertical="center" wrapText="1"/>
      <protection hidden="1"/>
    </xf>
    <xf numFmtId="0" fontId="0" fillId="0" borderId="26" xfId="0" applyFont="1" applyBorder="1" applyAlignment="1" applyProtection="1">
      <alignment horizontal="left" vertical="center"/>
      <protection locked="0"/>
    </xf>
    <xf numFmtId="0" fontId="29" fillId="48" borderId="26" xfId="0" applyFont="1" applyFill="1" applyBorder="1" applyAlignment="1" applyProtection="1">
      <alignment horizontal="center" vertical="center" wrapText="1"/>
      <protection hidden="1"/>
    </xf>
    <xf numFmtId="0" fontId="33" fillId="0" borderId="34" xfId="0" applyFont="1" applyBorder="1" applyAlignment="1" applyProtection="1">
      <alignment horizontal="left" wrapText="1"/>
      <protection hidden="1"/>
    </xf>
    <xf numFmtId="0" fontId="29" fillId="48" borderId="30" xfId="0" applyFont="1" applyFill="1" applyBorder="1" applyAlignment="1" applyProtection="1">
      <alignment horizontal="center" vertical="center" wrapText="1"/>
      <protection hidden="1"/>
    </xf>
    <xf numFmtId="0" fontId="0" fillId="0" borderId="35" xfId="0" applyFont="1" applyBorder="1" applyAlignment="1" applyProtection="1">
      <alignment horizontal="left"/>
      <protection hidden="1"/>
    </xf>
    <xf numFmtId="0" fontId="0" fillId="0" borderId="36" xfId="0" applyFont="1" applyBorder="1" applyAlignment="1" applyProtection="1">
      <alignment horizontal="left"/>
      <protection hidden="1"/>
    </xf>
    <xf numFmtId="0" fontId="0" fillId="0" borderId="30" xfId="0" applyFont="1" applyBorder="1" applyAlignment="1" applyProtection="1">
      <alignment horizontal="left" vertical="center"/>
      <protection locked="0"/>
    </xf>
    <xf numFmtId="0" fontId="19" fillId="0" borderId="26" xfId="0" applyFont="1" applyBorder="1" applyAlignment="1" applyProtection="1">
      <alignment/>
      <protection hidden="1"/>
    </xf>
    <xf numFmtId="0" fontId="0" fillId="0" borderId="0" xfId="0" applyAlignment="1" applyProtection="1">
      <alignment horizontal="left"/>
      <protection hidden="1"/>
    </xf>
    <xf numFmtId="0" fontId="0" fillId="0" borderId="37" xfId="0" applyFont="1" applyBorder="1" applyAlignment="1" applyProtection="1">
      <alignment horizontal="left" vertical="center"/>
      <protection locked="0"/>
    </xf>
    <xf numFmtId="0" fontId="29" fillId="47" borderId="36" xfId="0" applyFont="1" applyFill="1" applyBorder="1" applyAlignment="1" applyProtection="1">
      <alignment horizontal="center" vertical="center" wrapText="1"/>
      <protection hidden="1"/>
    </xf>
    <xf numFmtId="0" fontId="33"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protection locked="0"/>
    </xf>
    <xf numFmtId="0" fontId="29" fillId="48" borderId="36" xfId="0" applyFont="1" applyFill="1" applyBorder="1" applyAlignment="1" applyProtection="1">
      <alignment horizontal="center" vertical="center" wrapText="1"/>
      <protection hidden="1"/>
    </xf>
    <xf numFmtId="0" fontId="29" fillId="48" borderId="30" xfId="0" applyFont="1" applyFill="1" applyBorder="1" applyAlignment="1" applyProtection="1">
      <alignment vertical="center" wrapText="1"/>
      <protection hidden="1"/>
    </xf>
    <xf numFmtId="0" fontId="0" fillId="0" borderId="38" xfId="0" applyFont="1" applyBorder="1" applyAlignment="1" applyProtection="1">
      <alignment horizontal="left" vertical="center"/>
      <protection locked="0"/>
    </xf>
    <xf numFmtId="0" fontId="32" fillId="0" borderId="39" xfId="0" applyFont="1" applyBorder="1" applyAlignment="1">
      <alignment vertical="center"/>
    </xf>
    <xf numFmtId="0" fontId="32" fillId="0" borderId="37" xfId="0" applyFont="1" applyBorder="1" applyAlignment="1">
      <alignment vertical="center"/>
    </xf>
    <xf numFmtId="0" fontId="32" fillId="0" borderId="35" xfId="0" applyFont="1" applyBorder="1" applyAlignment="1">
      <alignment vertical="center"/>
    </xf>
    <xf numFmtId="0" fontId="32" fillId="0" borderId="36" xfId="0" applyFont="1" applyBorder="1" applyAlignment="1">
      <alignment vertical="center"/>
    </xf>
    <xf numFmtId="0" fontId="32" fillId="0" borderId="30" xfId="0" applyFont="1" applyBorder="1" applyAlignment="1">
      <alignment vertical="center"/>
    </xf>
    <xf numFmtId="0" fontId="29" fillId="49" borderId="38" xfId="0" applyFont="1" applyFill="1" applyBorder="1" applyAlignment="1" applyProtection="1">
      <alignment vertical="center" wrapText="1"/>
      <protection hidden="1"/>
    </xf>
    <xf numFmtId="0" fontId="29" fillId="49" borderId="33" xfId="0" applyFont="1" applyFill="1" applyBorder="1" applyAlignment="1" applyProtection="1">
      <alignment vertical="center" wrapText="1"/>
      <protection hidden="1"/>
    </xf>
    <xf numFmtId="0" fontId="29" fillId="49" borderId="40" xfId="0" applyFont="1" applyFill="1" applyBorder="1" applyAlignment="1" applyProtection="1">
      <alignment vertical="center" wrapText="1"/>
      <protection hidden="1"/>
    </xf>
    <xf numFmtId="0" fontId="29" fillId="49" borderId="41" xfId="0" applyFont="1" applyFill="1" applyBorder="1" applyAlignment="1" applyProtection="1">
      <alignment vertical="center"/>
      <protection hidden="1"/>
    </xf>
    <xf numFmtId="0" fontId="29" fillId="49" borderId="42" xfId="0" applyFont="1" applyFill="1" applyBorder="1" applyAlignment="1" applyProtection="1">
      <alignment vertical="center" wrapText="1"/>
      <protection hidden="1"/>
    </xf>
    <xf numFmtId="0" fontId="29" fillId="49" borderId="43" xfId="0" applyFont="1" applyFill="1" applyBorder="1" applyAlignment="1" applyProtection="1">
      <alignment vertical="center" wrapText="1"/>
      <protection hidden="1"/>
    </xf>
    <xf numFmtId="0" fontId="29" fillId="49" borderId="44" xfId="0" applyFont="1" applyFill="1" applyBorder="1" applyAlignment="1" applyProtection="1">
      <alignment vertical="center" wrapText="1"/>
      <protection hidden="1"/>
    </xf>
    <xf numFmtId="0" fontId="29" fillId="49" borderId="45" xfId="0" applyFont="1" applyFill="1" applyBorder="1" applyAlignment="1" applyProtection="1">
      <alignment vertical="center"/>
      <protection hidden="1"/>
    </xf>
    <xf numFmtId="0" fontId="19" fillId="0" borderId="0" xfId="0" applyFont="1" applyBorder="1" applyAlignment="1" applyProtection="1">
      <alignment horizontal="left" wrapText="1"/>
      <protection hidden="1"/>
    </xf>
    <xf numFmtId="0" fontId="19" fillId="0" borderId="0" xfId="0" applyFont="1" applyAlignment="1" applyProtection="1">
      <alignment/>
      <protection hidden="1"/>
    </xf>
    <xf numFmtId="0" fontId="19" fillId="0" borderId="0" xfId="0" applyFont="1" applyFill="1" applyBorder="1" applyAlignment="1" applyProtection="1">
      <alignment/>
      <protection hidden="1"/>
    </xf>
    <xf numFmtId="0" fontId="20" fillId="0" borderId="0"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wrapText="1"/>
      <protection hidden="1"/>
    </xf>
    <xf numFmtId="0" fontId="20" fillId="0" borderId="0" xfId="0" applyFont="1" applyAlignment="1" applyProtection="1">
      <alignment vertical="center"/>
      <protection hidden="1"/>
    </xf>
    <xf numFmtId="0" fontId="0" fillId="0" borderId="46" xfId="0" applyFont="1" applyBorder="1" applyAlignment="1" applyProtection="1">
      <alignment horizontal="left"/>
      <protection hidden="1"/>
    </xf>
    <xf numFmtId="0" fontId="0" fillId="42" borderId="34" xfId="0" applyFont="1" applyFill="1" applyBorder="1" applyAlignment="1" applyProtection="1">
      <alignment horizontal="left" vertical="center" wrapText="1"/>
      <protection hidden="1"/>
    </xf>
    <xf numFmtId="0" fontId="20" fillId="0" borderId="0" xfId="0" applyFont="1" applyBorder="1" applyAlignment="1" applyProtection="1">
      <alignment vertical="center"/>
      <protection hidden="1"/>
    </xf>
    <xf numFmtId="0" fontId="0" fillId="0" borderId="47" xfId="0" applyBorder="1" applyAlignment="1" applyProtection="1">
      <alignment horizontal="left"/>
      <protection hidden="1"/>
    </xf>
    <xf numFmtId="0" fontId="20" fillId="50" borderId="48" xfId="0" applyFont="1" applyFill="1" applyBorder="1" applyAlignment="1" applyProtection="1">
      <alignment horizontal="center" vertical="center" wrapText="1"/>
      <protection hidden="1"/>
    </xf>
    <xf numFmtId="0" fontId="20" fillId="50" borderId="49" xfId="0" applyFont="1" applyFill="1" applyBorder="1" applyAlignment="1" applyProtection="1">
      <alignment horizontal="center" vertical="center" wrapText="1"/>
      <protection hidden="1"/>
    </xf>
    <xf numFmtId="0" fontId="0" fillId="0" borderId="39" xfId="0" applyFont="1" applyBorder="1" applyAlignment="1" applyProtection="1">
      <alignment horizontal="left"/>
      <protection hidden="1"/>
    </xf>
    <xf numFmtId="0" fontId="33" fillId="0" borderId="37" xfId="0" applyFont="1" applyBorder="1" applyAlignment="1" applyProtection="1">
      <alignment horizontal="left" wrapText="1"/>
      <protection hidden="1"/>
    </xf>
    <xf numFmtId="0" fontId="29" fillId="48" borderId="5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0" fillId="0" borderId="26" xfId="0" applyBorder="1" applyAlignment="1" applyProtection="1">
      <alignment horizontal="left" vertical="center"/>
      <protection hidden="1"/>
    </xf>
    <xf numFmtId="0" fontId="0" fillId="0" borderId="51" xfId="0" applyFont="1" applyBorder="1" applyAlignment="1" applyProtection="1">
      <alignment horizontal="left" vertical="center"/>
      <protection locked="0"/>
    </xf>
    <xf numFmtId="0" fontId="19" fillId="0" borderId="0" xfId="0" applyFont="1" applyAlignment="1" applyProtection="1">
      <alignment vertical="center" wrapText="1"/>
      <protection hidden="1"/>
    </xf>
    <xf numFmtId="0" fontId="0" fillId="0" borderId="52" xfId="0" applyFont="1" applyBorder="1" applyAlignment="1" applyProtection="1">
      <alignment horizontal="left" vertical="center"/>
      <protection locked="0"/>
    </xf>
    <xf numFmtId="0" fontId="0" fillId="0" borderId="53" xfId="0" applyFont="1" applyBorder="1" applyAlignment="1" applyProtection="1">
      <alignment vertical="center"/>
      <protection hidden="1"/>
    </xf>
    <xf numFmtId="0" fontId="0" fillId="0" borderId="54" xfId="0" applyFont="1" applyBorder="1" applyAlignment="1" applyProtection="1">
      <alignment vertical="center"/>
      <protection hidden="1"/>
    </xf>
    <xf numFmtId="164" fontId="0" fillId="0" borderId="0" xfId="15" applyNumberFormat="1" applyFont="1" applyAlignment="1" applyProtection="1">
      <alignment horizontal="right" vertical="center"/>
      <protection hidden="1"/>
    </xf>
    <xf numFmtId="2" fontId="0" fillId="0" borderId="0" xfId="0" applyNumberFormat="1" applyAlignment="1" applyProtection="1">
      <alignment vertical="center"/>
      <protection hidden="1"/>
    </xf>
    <xf numFmtId="165" fontId="20" fillId="51" borderId="20" xfId="82" applyNumberFormat="1" applyFont="1" applyFill="1" applyBorder="1" applyAlignment="1" applyProtection="1">
      <alignment vertical="center"/>
      <protection hidden="1"/>
    </xf>
    <xf numFmtId="0" fontId="29" fillId="46" borderId="55" xfId="15" applyFont="1" applyFill="1" applyBorder="1" applyAlignment="1" applyProtection="1">
      <alignment horizontal="left" vertical="center"/>
      <protection hidden="1"/>
    </xf>
    <xf numFmtId="165" fontId="20" fillId="51" borderId="56" xfId="82" applyNumberFormat="1" applyFont="1" applyFill="1" applyBorder="1" applyAlignment="1" applyProtection="1">
      <alignment vertical="center"/>
      <protection hidden="1"/>
    </xf>
    <xf numFmtId="165" fontId="20" fillId="51" borderId="57" xfId="82" applyNumberFormat="1" applyFont="1" applyFill="1" applyBorder="1" applyAlignment="1" applyProtection="1">
      <alignment vertical="center"/>
      <protection hidden="1"/>
    </xf>
    <xf numFmtId="0" fontId="29" fillId="52" borderId="28" xfId="15" applyFont="1" applyFill="1" applyBorder="1" applyAlignment="1" applyProtection="1">
      <alignment horizontal="left" vertical="center"/>
      <protection hidden="1"/>
    </xf>
    <xf numFmtId="165" fontId="20" fillId="51" borderId="58" xfId="82" applyNumberFormat="1" applyFont="1" applyFill="1" applyBorder="1" applyAlignment="1" applyProtection="1">
      <alignment vertical="center"/>
      <protection hidden="1"/>
    </xf>
    <xf numFmtId="0" fontId="29" fillId="47" borderId="28" xfId="15" applyFont="1" applyFill="1" applyBorder="1" applyAlignment="1" applyProtection="1">
      <alignment horizontal="left" vertical="center"/>
      <protection hidden="1"/>
    </xf>
    <xf numFmtId="0" fontId="29" fillId="48" borderId="28" xfId="15" applyFont="1" applyFill="1" applyBorder="1" applyAlignment="1" applyProtection="1">
      <alignment horizontal="left" vertical="center"/>
      <protection hidden="1"/>
    </xf>
    <xf numFmtId="0" fontId="29" fillId="49" borderId="28" xfId="15" applyFont="1" applyFill="1" applyBorder="1" applyAlignment="1" applyProtection="1">
      <alignment horizontal="left" vertical="center"/>
      <protection hidden="1"/>
    </xf>
    <xf numFmtId="0" fontId="20" fillId="53" borderId="29" xfId="15" applyFont="1" applyFill="1" applyBorder="1" applyAlignment="1" applyProtection="1">
      <alignment horizontal="left" vertical="center" wrapText="1"/>
      <protection hidden="1"/>
    </xf>
    <xf numFmtId="165" fontId="20" fillId="0" borderId="32" xfId="82" applyNumberFormat="1" applyFont="1" applyFill="1" applyBorder="1" applyAlignment="1" applyProtection="1">
      <alignment vertical="center"/>
      <protection hidden="1"/>
    </xf>
    <xf numFmtId="165" fontId="20" fillId="0" borderId="59" xfId="82" applyNumberFormat="1" applyFont="1" applyFill="1" applyBorder="1" applyAlignment="1" applyProtection="1">
      <alignment vertical="center"/>
      <protection hidden="1"/>
    </xf>
    <xf numFmtId="179" fontId="32" fillId="54" borderId="26" xfId="122" applyNumberFormat="1" applyFont="1" applyFill="1" applyBorder="1" applyAlignment="1" applyProtection="1">
      <alignment vertical="center"/>
      <protection locked="0"/>
    </xf>
    <xf numFmtId="4" fontId="32" fillId="54" borderId="26" xfId="122" applyNumberFormat="1" applyFont="1" applyFill="1" applyBorder="1" applyAlignment="1" applyProtection="1">
      <alignment vertical="center"/>
      <protection locked="0"/>
    </xf>
    <xf numFmtId="165" fontId="20" fillId="51" borderId="26" xfId="82" applyNumberFormat="1" applyFont="1" applyFill="1" applyBorder="1" applyAlignment="1" applyProtection="1">
      <alignment vertical="center"/>
      <protection hidden="1"/>
    </xf>
    <xf numFmtId="0" fontId="20" fillId="0" borderId="0" xfId="0" applyFont="1" applyBorder="1" applyAlignment="1" applyProtection="1">
      <alignment horizontal="center"/>
      <protection hidden="1"/>
    </xf>
    <xf numFmtId="0" fontId="20" fillId="53" borderId="15" xfId="15" applyFont="1" applyFill="1" applyBorder="1" applyAlignment="1" applyProtection="1">
      <alignment vertical="center" wrapText="1"/>
      <protection hidden="1"/>
    </xf>
    <xf numFmtId="0" fontId="20" fillId="43" borderId="39" xfId="0" applyFont="1" applyFill="1" applyBorder="1" applyAlignment="1" applyProtection="1">
      <alignment vertical="center"/>
      <protection hidden="1"/>
    </xf>
    <xf numFmtId="0" fontId="0" fillId="34" borderId="0" xfId="0" applyNumberFormat="1" applyFill="1" applyBorder="1" applyAlignment="1" applyProtection="1">
      <alignment horizontal="justify"/>
      <protection hidden="1"/>
    </xf>
    <xf numFmtId="0" fontId="0" fillId="51" borderId="26" xfId="0" applyFill="1" applyBorder="1" applyAlignment="1" applyProtection="1">
      <alignment horizontal="left" wrapText="1"/>
      <protection hidden="1"/>
    </xf>
    <xf numFmtId="0" fontId="32" fillId="0" borderId="26" xfId="99" applyNumberFormat="1" applyFont="1" applyBorder="1" applyAlignment="1" applyProtection="1">
      <alignment vertical="center"/>
      <protection hidden="1"/>
    </xf>
    <xf numFmtId="0" fontId="0" fillId="0" borderId="26" xfId="99" applyNumberFormat="1" applyFont="1" applyBorder="1" applyAlignment="1" applyProtection="1">
      <alignment horizontal="center" vertical="center"/>
      <protection hidden="1"/>
    </xf>
    <xf numFmtId="0" fontId="32" fillId="0" borderId="26" xfId="100" applyNumberFormat="1" applyFont="1" applyBorder="1" applyAlignment="1" applyProtection="1">
      <alignment vertical="center"/>
      <protection hidden="1"/>
    </xf>
    <xf numFmtId="0" fontId="32" fillId="0" borderId="60" xfId="0" applyNumberFormat="1" applyFont="1" applyBorder="1" applyAlignment="1" applyProtection="1">
      <alignment vertical="center"/>
      <protection hidden="1"/>
    </xf>
    <xf numFmtId="0" fontId="0" fillId="0" borderId="26" xfId="99" applyNumberFormat="1" applyFont="1" applyBorder="1" applyAlignment="1" applyProtection="1">
      <alignment horizontal="center" vertical="center"/>
      <protection hidden="1"/>
    </xf>
    <xf numFmtId="0" fontId="32" fillId="0" borderId="60" xfId="0" applyNumberFormat="1" applyFont="1" applyBorder="1" applyAlignment="1" applyProtection="1">
      <alignment vertical="center"/>
      <protection hidden="1"/>
    </xf>
    <xf numFmtId="0" fontId="0" fillId="0" borderId="26" xfId="99" applyNumberFormat="1" applyFont="1" applyBorder="1" applyAlignment="1" applyProtection="1">
      <alignment vertical="center"/>
      <protection hidden="1"/>
    </xf>
    <xf numFmtId="0" fontId="32" fillId="0" borderId="26" xfId="99" applyFont="1" applyBorder="1" applyAlignment="1" applyProtection="1">
      <alignment vertical="center"/>
      <protection hidden="1"/>
    </xf>
    <xf numFmtId="0" fontId="0" fillId="0" borderId="61" xfId="0" applyFont="1" applyBorder="1" applyAlignment="1" applyProtection="1">
      <alignment horizontal="left" vertical="center"/>
      <protection hidden="1" locked="0"/>
    </xf>
    <xf numFmtId="0" fontId="0" fillId="0" borderId="34" xfId="0" applyFont="1" applyBorder="1" applyAlignment="1" applyProtection="1">
      <alignment horizontal="left" vertical="center"/>
      <protection hidden="1" locked="0"/>
    </xf>
    <xf numFmtId="0" fontId="0" fillId="0" borderId="19" xfId="0" applyFont="1" applyBorder="1" applyAlignment="1" applyProtection="1">
      <alignment horizontal="left" vertical="center"/>
      <protection hidden="1" locked="0"/>
    </xf>
    <xf numFmtId="0" fontId="0" fillId="0" borderId="18" xfId="0" applyFont="1" applyBorder="1" applyAlignment="1" applyProtection="1">
      <alignment horizontal="left" vertical="center"/>
      <protection hidden="1" locked="0"/>
    </xf>
    <xf numFmtId="0" fontId="0" fillId="0" borderId="21" xfId="0" applyFont="1" applyBorder="1" applyAlignment="1" applyProtection="1">
      <alignment horizontal="left" vertical="center"/>
      <protection hidden="1" locked="0"/>
    </xf>
    <xf numFmtId="0" fontId="0" fillId="0" borderId="26" xfId="0" applyFont="1" applyBorder="1" applyAlignment="1" applyProtection="1">
      <alignment horizontal="left" vertical="center"/>
      <protection hidden="1" locked="0"/>
    </xf>
    <xf numFmtId="0" fontId="0" fillId="0" borderId="20" xfId="0" applyFont="1" applyBorder="1" applyAlignment="1" applyProtection="1">
      <alignment horizontal="left" vertical="center"/>
      <protection hidden="1" locked="0"/>
    </xf>
    <xf numFmtId="0" fontId="0" fillId="0" borderId="25" xfId="0" applyFont="1" applyBorder="1" applyAlignment="1" applyProtection="1">
      <alignment horizontal="left" vertical="center"/>
      <protection hidden="1" locked="0"/>
    </xf>
    <xf numFmtId="0" fontId="0" fillId="0" borderId="30" xfId="0" applyFont="1" applyBorder="1" applyAlignment="1" applyProtection="1">
      <alignment horizontal="left" vertical="center"/>
      <protection hidden="1" locked="0"/>
    </xf>
    <xf numFmtId="0" fontId="0" fillId="0" borderId="62" xfId="0" applyFont="1" applyBorder="1" applyAlignment="1" applyProtection="1">
      <alignment horizontal="left" vertical="center"/>
      <protection hidden="1" locked="0"/>
    </xf>
    <xf numFmtId="0" fontId="0" fillId="0" borderId="32" xfId="0" applyFont="1" applyBorder="1" applyAlignment="1" applyProtection="1">
      <alignment horizontal="left" vertical="center"/>
      <protection hidden="1" locked="0"/>
    </xf>
    <xf numFmtId="0" fontId="0" fillId="0" borderId="63" xfId="0" applyFont="1" applyBorder="1" applyAlignment="1" applyProtection="1">
      <alignment horizontal="left" vertical="center"/>
      <protection hidden="1" locked="0"/>
    </xf>
    <xf numFmtId="0" fontId="0" fillId="0" borderId="64" xfId="0" applyFont="1" applyBorder="1" applyAlignment="1" applyProtection="1">
      <alignment horizontal="left"/>
      <protection hidden="1" locked="0"/>
    </xf>
    <xf numFmtId="0" fontId="0" fillId="0" borderId="65" xfId="0" applyFont="1" applyBorder="1" applyAlignment="1" applyProtection="1">
      <alignment horizontal="left"/>
      <protection hidden="1" locked="0"/>
    </xf>
    <xf numFmtId="0" fontId="0" fillId="0" borderId="66" xfId="0" applyFont="1" applyBorder="1" applyAlignment="1" applyProtection="1">
      <alignment horizontal="left"/>
      <protection hidden="1" locked="0"/>
    </xf>
    <xf numFmtId="0" fontId="32" fillId="0" borderId="0" xfId="0" applyFont="1" applyBorder="1" applyAlignment="1" applyProtection="1">
      <alignment vertical="center"/>
      <protection hidden="1"/>
    </xf>
    <xf numFmtId="0" fontId="32" fillId="0" borderId="26" xfId="0" applyFont="1" applyBorder="1" applyAlignment="1" applyProtection="1">
      <alignment vertical="center"/>
      <protection hidden="1"/>
    </xf>
    <xf numFmtId="0" fontId="0" fillId="0" borderId="67" xfId="0" applyFont="1" applyBorder="1" applyAlignment="1" applyProtection="1">
      <alignment horizontal="left" vertical="center"/>
      <protection hidden="1" locked="0"/>
    </xf>
    <xf numFmtId="0" fontId="0" fillId="0" borderId="68" xfId="0" applyFont="1" applyBorder="1" applyAlignment="1" applyProtection="1">
      <alignment horizontal="left" vertical="center"/>
      <protection hidden="1" locked="0"/>
    </xf>
    <xf numFmtId="0" fontId="0" fillId="0" borderId="69" xfId="0" applyFont="1" applyBorder="1" applyAlignment="1" applyProtection="1">
      <alignment horizontal="left" vertical="center"/>
      <protection hidden="1" locked="0"/>
    </xf>
    <xf numFmtId="0" fontId="33" fillId="0" borderId="68" xfId="0" applyFont="1" applyBorder="1" applyAlignment="1" applyProtection="1">
      <alignment horizontal="left" vertical="center" wrapText="1"/>
      <protection hidden="1"/>
    </xf>
    <xf numFmtId="0" fontId="0" fillId="0" borderId="26" xfId="0" applyFont="1" applyBorder="1" applyAlignment="1" applyProtection="1">
      <alignment vertical="center"/>
      <protection hidden="1"/>
    </xf>
    <xf numFmtId="0" fontId="32" fillId="0" borderId="0" xfId="99" applyNumberFormat="1" applyFont="1" applyBorder="1" applyAlignment="1" applyProtection="1">
      <alignment vertical="center"/>
      <protection hidden="1"/>
    </xf>
    <xf numFmtId="0" fontId="32" fillId="0" borderId="0" xfId="99" applyNumberFormat="1" applyFont="1" applyBorder="1" applyAlignment="1" applyProtection="1">
      <alignment vertical="center"/>
      <protection hidden="1"/>
    </xf>
    <xf numFmtId="0" fontId="0" fillId="0" borderId="0" xfId="99" applyNumberFormat="1" applyFont="1" applyBorder="1" applyAlignment="1" applyProtection="1">
      <alignment vertical="center"/>
      <protection hidden="1"/>
    </xf>
    <xf numFmtId="0" fontId="0" fillId="0" borderId="0" xfId="99" applyNumberFormat="1" applyFont="1" applyBorder="1" applyAlignment="1" applyProtection="1">
      <alignment vertical="center"/>
      <protection hidden="1"/>
    </xf>
    <xf numFmtId="0" fontId="32" fillId="0" borderId="70" xfId="0" applyFont="1" applyBorder="1" applyAlignment="1" applyProtection="1">
      <alignment vertical="center"/>
      <protection hidden="1"/>
    </xf>
    <xf numFmtId="0" fontId="32" fillId="0" borderId="35" xfId="0" applyFont="1" applyBorder="1" applyAlignment="1" applyProtection="1">
      <alignment vertical="center"/>
      <protection hidden="1"/>
    </xf>
    <xf numFmtId="0" fontId="32" fillId="0" borderId="36" xfId="0" applyFont="1" applyBorder="1" applyAlignment="1" applyProtection="1">
      <alignment vertical="center"/>
      <protection hidden="1"/>
    </xf>
    <xf numFmtId="0" fontId="0" fillId="0" borderId="38" xfId="0" applyFont="1" applyBorder="1" applyAlignment="1" applyProtection="1">
      <alignment horizontal="left"/>
      <protection hidden="1" locked="0"/>
    </xf>
    <xf numFmtId="0" fontId="0" fillId="0" borderId="33" xfId="0" applyFont="1" applyBorder="1" applyAlignment="1" applyProtection="1">
      <alignment horizontal="left" vertical="center"/>
      <protection hidden="1" locked="0"/>
    </xf>
    <xf numFmtId="0" fontId="0" fillId="0" borderId="51" xfId="0" applyFont="1" applyBorder="1" applyAlignment="1" applyProtection="1">
      <alignment horizontal="left"/>
      <protection hidden="1" locked="0"/>
    </xf>
    <xf numFmtId="0" fontId="0" fillId="0" borderId="34" xfId="0" applyFont="1" applyBorder="1" applyAlignment="1" applyProtection="1">
      <alignment/>
      <protection hidden="1" locked="0"/>
    </xf>
    <xf numFmtId="0" fontId="0" fillId="0" borderId="26" xfId="0" applyFont="1" applyBorder="1" applyAlignment="1" applyProtection="1">
      <alignment/>
      <protection hidden="1" locked="0"/>
    </xf>
    <xf numFmtId="0" fontId="0" fillId="0" borderId="71" xfId="0" applyFont="1" applyBorder="1" applyAlignment="1" applyProtection="1">
      <alignment horizontal="left" vertical="center"/>
      <protection hidden="1" locked="0"/>
    </xf>
    <xf numFmtId="0" fontId="0" fillId="0" borderId="30" xfId="0" applyFont="1" applyBorder="1" applyAlignment="1" applyProtection="1">
      <alignment/>
      <protection hidden="1" locked="0"/>
    </xf>
    <xf numFmtId="0" fontId="0" fillId="0" borderId="37" xfId="0" applyFont="1" applyBorder="1" applyAlignment="1" applyProtection="1">
      <alignment horizontal="left" vertical="center"/>
      <protection hidden="1" locked="0"/>
    </xf>
    <xf numFmtId="0" fontId="0" fillId="0" borderId="72" xfId="0" applyFont="1" applyBorder="1" applyAlignment="1" applyProtection="1">
      <alignment horizontal="left" vertical="center"/>
      <protection hidden="1" locked="0"/>
    </xf>
    <xf numFmtId="0" fontId="0" fillId="0" borderId="52" xfId="0" applyFont="1" applyBorder="1" applyAlignment="1" applyProtection="1">
      <alignment/>
      <protection hidden="1" locked="0"/>
    </xf>
    <xf numFmtId="0" fontId="0" fillId="0" borderId="53" xfId="0" applyFont="1" applyBorder="1" applyAlignment="1" applyProtection="1">
      <alignment/>
      <protection hidden="1" locked="0"/>
    </xf>
    <xf numFmtId="0" fontId="0" fillId="0" borderId="54" xfId="0" applyFont="1" applyBorder="1" applyAlignment="1" applyProtection="1">
      <alignment/>
      <protection hidden="1" locked="0"/>
    </xf>
    <xf numFmtId="0" fontId="0" fillId="0" borderId="39" xfId="0" applyFont="1" applyBorder="1" applyAlignment="1" applyProtection="1">
      <alignment horizontal="left" vertical="center"/>
      <protection hidden="1"/>
    </xf>
    <xf numFmtId="0" fontId="0" fillId="0" borderId="35" xfId="0" applyFont="1" applyBorder="1" applyAlignment="1" applyProtection="1">
      <alignment horizontal="left" vertical="center"/>
      <protection hidden="1"/>
    </xf>
    <xf numFmtId="0" fontId="0" fillId="0" borderId="36" xfId="0" applyFont="1" applyBorder="1" applyAlignment="1" applyProtection="1">
      <alignment horizontal="left" vertical="center"/>
      <protection hidden="1"/>
    </xf>
    <xf numFmtId="0" fontId="0" fillId="0" borderId="37" xfId="0" applyFont="1" applyBorder="1" applyAlignment="1" applyProtection="1">
      <alignment vertical="center"/>
      <protection hidden="1" locked="0"/>
    </xf>
    <xf numFmtId="0" fontId="0" fillId="0" borderId="34" xfId="0" applyFont="1" applyBorder="1" applyAlignment="1" applyProtection="1">
      <alignment vertical="center"/>
      <protection hidden="1" locked="0"/>
    </xf>
    <xf numFmtId="0" fontId="0" fillId="0" borderId="33" xfId="0" applyFont="1" applyBorder="1" applyAlignment="1" applyProtection="1">
      <alignment vertical="center"/>
      <protection hidden="1" locked="0"/>
    </xf>
    <xf numFmtId="0" fontId="0" fillId="0" borderId="37" xfId="0" applyFont="1" applyBorder="1" applyAlignment="1" applyProtection="1">
      <alignment/>
      <protection hidden="1" locked="0"/>
    </xf>
    <xf numFmtId="0" fontId="0" fillId="0" borderId="52" xfId="0" applyFont="1" applyBorder="1" applyAlignment="1" applyProtection="1">
      <alignment/>
      <protection hidden="1" locked="0"/>
    </xf>
    <xf numFmtId="0" fontId="0" fillId="0" borderId="53" xfId="0" applyFont="1" applyBorder="1" applyAlignment="1" applyProtection="1">
      <alignment/>
      <protection hidden="1" locked="0"/>
    </xf>
    <xf numFmtId="0" fontId="0" fillId="0" borderId="54" xfId="0" applyFont="1" applyBorder="1" applyAlignment="1" applyProtection="1">
      <alignment/>
      <protection hidden="1" locked="0"/>
    </xf>
    <xf numFmtId="0" fontId="32" fillId="0" borderId="0" xfId="100" applyNumberFormat="1" applyFont="1" applyAlignment="1" applyProtection="1">
      <alignment horizontal="center" vertical="center"/>
      <protection hidden="1"/>
    </xf>
    <xf numFmtId="0" fontId="32" fillId="0" borderId="0" xfId="100" applyNumberFormat="1" applyFont="1" applyAlignment="1" applyProtection="1">
      <alignment horizontal="justify" vertical="center" wrapText="1"/>
      <protection hidden="1"/>
    </xf>
    <xf numFmtId="0" fontId="32" fillId="0" borderId="0" xfId="100" applyNumberFormat="1" applyFont="1" applyAlignment="1" applyProtection="1">
      <alignment vertical="center"/>
      <protection hidden="1"/>
    </xf>
    <xf numFmtId="0" fontId="35" fillId="42" borderId="26" xfId="100" applyNumberFormat="1" applyFont="1" applyFill="1" applyBorder="1" applyAlignment="1" applyProtection="1">
      <alignment horizontal="center" vertical="center" wrapText="1"/>
      <protection hidden="1"/>
    </xf>
    <xf numFmtId="0" fontId="35" fillId="42" borderId="26" xfId="100" applyNumberFormat="1" applyFont="1" applyFill="1" applyBorder="1" applyAlignment="1" applyProtection="1">
      <alignment horizontal="justify" vertical="center" wrapText="1"/>
      <protection hidden="1"/>
    </xf>
    <xf numFmtId="179" fontId="20" fillId="42" borderId="26" xfId="100" applyNumberFormat="1" applyFont="1" applyFill="1" applyBorder="1" applyAlignment="1" applyProtection="1">
      <alignment horizontal="center" vertical="center" wrapText="1"/>
      <protection hidden="1"/>
    </xf>
    <xf numFmtId="2" fontId="20" fillId="42" borderId="26" xfId="101" applyNumberFormat="1" applyFont="1" applyFill="1" applyBorder="1" applyAlignment="1" applyProtection="1">
      <alignment horizontal="center" vertical="center" wrapText="1"/>
      <protection hidden="1"/>
    </xf>
    <xf numFmtId="179" fontId="20" fillId="25" borderId="26" xfId="100" applyNumberFormat="1" applyFont="1" applyFill="1" applyBorder="1" applyAlignment="1" applyProtection="1">
      <alignment horizontal="center" vertical="center" wrapText="1"/>
      <protection hidden="1"/>
    </xf>
    <xf numFmtId="2" fontId="20" fillId="25" borderId="26" xfId="101" applyNumberFormat="1" applyFont="1" applyFill="1" applyBorder="1" applyAlignment="1" applyProtection="1">
      <alignment horizontal="center" vertical="center" wrapText="1"/>
      <protection hidden="1"/>
    </xf>
    <xf numFmtId="0" fontId="32" fillId="0" borderId="26" xfId="100" applyNumberFormat="1" applyFont="1" applyBorder="1" applyAlignment="1" applyProtection="1">
      <alignment horizontal="justify" vertical="center" wrapText="1"/>
      <protection hidden="1"/>
    </xf>
    <xf numFmtId="179" fontId="32" fillId="54" borderId="26" xfId="122" applyNumberFormat="1" applyFont="1" applyFill="1" applyBorder="1" applyAlignment="1" applyProtection="1">
      <alignment vertical="center"/>
      <protection hidden="1"/>
    </xf>
    <xf numFmtId="2" fontId="32" fillId="55" borderId="26" xfId="123" applyNumberFormat="1" applyFont="1" applyFill="1" applyBorder="1" applyAlignment="1" applyProtection="1">
      <alignment vertical="center"/>
      <protection hidden="1"/>
    </xf>
    <xf numFmtId="0" fontId="0" fillId="0" borderId="26" xfId="100" applyNumberFormat="1" applyFont="1" applyBorder="1" applyAlignment="1" applyProtection="1">
      <alignment vertical="center"/>
      <protection hidden="1"/>
    </xf>
    <xf numFmtId="0" fontId="0" fillId="0" borderId="26" xfId="100" applyNumberFormat="1" applyFont="1" applyBorder="1" applyAlignment="1" applyProtection="1">
      <alignment horizontal="justify" vertical="center" wrapText="1"/>
      <protection hidden="1"/>
    </xf>
    <xf numFmtId="0" fontId="32" fillId="0" borderId="26" xfId="100" applyFont="1" applyBorder="1" applyAlignment="1" applyProtection="1">
      <alignment vertical="center"/>
      <protection hidden="1"/>
    </xf>
    <xf numFmtId="0" fontId="32" fillId="0" borderId="26" xfId="100" applyFont="1" applyBorder="1" applyAlignment="1" applyProtection="1">
      <alignment horizontal="justify" vertical="center" wrapText="1"/>
      <protection hidden="1"/>
    </xf>
    <xf numFmtId="179" fontId="32" fillId="55" borderId="26" xfId="123" applyNumberFormat="1" applyFont="1" applyFill="1" applyBorder="1" applyAlignment="1" applyProtection="1">
      <alignment vertical="center"/>
      <protection hidden="1"/>
    </xf>
    <xf numFmtId="4" fontId="32" fillId="54" borderId="26" xfId="122" applyNumberFormat="1" applyFont="1" applyFill="1" applyBorder="1" applyAlignment="1" applyProtection="1">
      <alignment vertical="center"/>
      <protection hidden="1"/>
    </xf>
    <xf numFmtId="0" fontId="32" fillId="0" borderId="73" xfId="100" applyNumberFormat="1" applyFont="1" applyBorder="1" applyAlignment="1" applyProtection="1">
      <alignment horizontal="left" vertical="center"/>
      <protection hidden="1"/>
    </xf>
    <xf numFmtId="0" fontId="32" fillId="0" borderId="47" xfId="100" applyNumberFormat="1" applyFont="1" applyBorder="1" applyAlignment="1" applyProtection="1">
      <alignment horizontal="justify" vertical="center" wrapText="1"/>
      <protection hidden="1"/>
    </xf>
    <xf numFmtId="0" fontId="32" fillId="0" borderId="26" xfId="100" applyNumberFormat="1" applyFont="1" applyBorder="1" applyAlignment="1" applyProtection="1">
      <alignment vertical="center"/>
      <protection hidden="1"/>
    </xf>
    <xf numFmtId="0" fontId="32" fillId="0" borderId="26" xfId="100" applyNumberFormat="1" applyFont="1" applyBorder="1" applyAlignment="1" applyProtection="1">
      <alignment horizontal="justify" vertical="center" wrapText="1"/>
      <protection hidden="1"/>
    </xf>
    <xf numFmtId="0" fontId="32" fillId="0" borderId="26" xfId="100" applyFont="1" applyBorder="1" applyAlignment="1" applyProtection="1">
      <alignment horizontal="justify" vertical="center" wrapText="1"/>
      <protection hidden="1"/>
    </xf>
    <xf numFmtId="44" fontId="32" fillId="54" borderId="26" xfId="124" applyFont="1" applyFill="1" applyBorder="1" applyAlignment="1" applyProtection="1">
      <alignment vertical="center"/>
      <protection hidden="1"/>
    </xf>
    <xf numFmtId="0" fontId="32" fillId="0" borderId="0" xfId="100" applyFont="1" applyAlignment="1" applyProtection="1">
      <alignment vertical="center"/>
      <protection hidden="1"/>
    </xf>
    <xf numFmtId="0" fontId="0" fillId="0" borderId="26" xfId="100" applyFont="1" applyBorder="1" applyAlignment="1" applyProtection="1">
      <alignment vertical="center"/>
      <protection hidden="1"/>
    </xf>
    <xf numFmtId="0" fontId="0" fillId="0" borderId="26" xfId="100" applyFont="1" applyBorder="1" applyAlignment="1" applyProtection="1">
      <alignment horizontal="justify" vertical="center" wrapText="1"/>
      <protection hidden="1"/>
    </xf>
    <xf numFmtId="0" fontId="32" fillId="0" borderId="0" xfId="100" applyFont="1" applyAlignment="1" applyProtection="1">
      <alignment horizontal="justify" vertical="center" wrapText="1"/>
      <protection hidden="1"/>
    </xf>
    <xf numFmtId="179" fontId="32" fillId="0" borderId="0" xfId="100" applyNumberFormat="1" applyFont="1" applyAlignment="1" applyProtection="1">
      <alignment vertical="center"/>
      <protection hidden="1"/>
    </xf>
    <xf numFmtId="2" fontId="35" fillId="0" borderId="0" xfId="100" applyNumberFormat="1" applyFont="1" applyAlignment="1" applyProtection="1">
      <alignment horizontal="left" vertical="center"/>
      <protection hidden="1"/>
    </xf>
    <xf numFmtId="2" fontId="32" fillId="0" borderId="0" xfId="100" applyNumberFormat="1" applyFont="1" applyAlignment="1" applyProtection="1">
      <alignment vertical="center"/>
      <protection hidden="1"/>
    </xf>
    <xf numFmtId="179" fontId="0" fillId="0" borderId="0" xfId="100" applyNumberFormat="1" applyFont="1" applyAlignment="1" applyProtection="1">
      <alignment vertical="center"/>
      <protection hidden="1"/>
    </xf>
    <xf numFmtId="2" fontId="0" fillId="0" borderId="0" xfId="100" applyNumberFormat="1" applyFont="1" applyAlignment="1" applyProtection="1">
      <alignment vertical="center"/>
      <protection hidden="1"/>
    </xf>
    <xf numFmtId="179" fontId="35" fillId="56" borderId="53" xfId="120" applyNumberFormat="1" applyFont="1" applyFill="1" applyBorder="1" applyAlignment="1" applyProtection="1">
      <alignment vertical="center"/>
      <protection hidden="1"/>
    </xf>
    <xf numFmtId="179" fontId="35" fillId="56" borderId="54" xfId="120" applyNumberFormat="1" applyFont="1" applyFill="1" applyBorder="1" applyAlignment="1" applyProtection="1">
      <alignment vertical="center"/>
      <protection hidden="1"/>
    </xf>
    <xf numFmtId="0" fontId="0" fillId="51" borderId="71" xfId="0" applyFill="1" applyBorder="1" applyAlignment="1" applyProtection="1">
      <alignment horizontal="justify" vertical="top" wrapText="1"/>
      <protection hidden="1"/>
    </xf>
    <xf numFmtId="0" fontId="0" fillId="51" borderId="34" xfId="0" applyFill="1" applyBorder="1" applyAlignment="1" applyProtection="1">
      <alignment horizontal="justify" vertical="top" wrapText="1"/>
      <protection hidden="1"/>
    </xf>
    <xf numFmtId="179" fontId="32" fillId="55" borderId="26" xfId="123" applyNumberFormat="1" applyFont="1" applyFill="1" applyBorder="1" applyAlignment="1" applyProtection="1">
      <alignment vertical="center"/>
      <protection locked="0"/>
    </xf>
    <xf numFmtId="2" fontId="32" fillId="55" borderId="26" xfId="123" applyNumberFormat="1" applyFont="1" applyFill="1" applyBorder="1" applyAlignment="1" applyProtection="1">
      <alignment vertical="center"/>
      <protection locked="0"/>
    </xf>
    <xf numFmtId="0" fontId="0" fillId="0" borderId="52" xfId="0" applyFont="1" applyBorder="1" applyAlignment="1" applyProtection="1">
      <alignment vertical="center"/>
      <protection hidden="1"/>
    </xf>
    <xf numFmtId="179" fontId="20" fillId="0" borderId="74" xfId="0" applyNumberFormat="1" applyFont="1" applyBorder="1" applyAlignment="1" applyProtection="1">
      <alignment vertical="center"/>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164" fontId="0" fillId="0" borderId="0" xfId="15" applyNumberFormat="1" applyFont="1" applyAlignment="1" applyProtection="1">
      <alignment horizontal="right" vertical="center"/>
      <protection hidden="1"/>
    </xf>
    <xf numFmtId="0" fontId="20" fillId="50" borderId="71" xfId="0" applyFont="1" applyFill="1" applyBorder="1" applyAlignment="1" applyProtection="1">
      <alignment horizontal="center" vertical="center" wrapText="1"/>
      <protection hidden="1"/>
    </xf>
    <xf numFmtId="0" fontId="20" fillId="50" borderId="75" xfId="0" applyFont="1" applyFill="1" applyBorder="1" applyAlignment="1" applyProtection="1">
      <alignment horizontal="center" vertical="center" wrapText="1"/>
      <protection hidden="1"/>
    </xf>
    <xf numFmtId="0" fontId="20" fillId="50" borderId="76" xfId="0" applyFont="1" applyFill="1" applyBorder="1" applyAlignment="1" applyProtection="1">
      <alignment horizontal="center" vertical="center" wrapText="1"/>
      <protection hidden="1"/>
    </xf>
    <xf numFmtId="165" fontId="20" fillId="51" borderId="37" xfId="82" applyNumberFormat="1" applyFont="1" applyFill="1" applyBorder="1" applyAlignment="1" applyProtection="1">
      <alignment vertical="center"/>
      <protection hidden="1"/>
    </xf>
    <xf numFmtId="165" fontId="20" fillId="51" borderId="30" xfId="82" applyNumberFormat="1" applyFont="1" applyFill="1" applyBorder="1" applyAlignment="1" applyProtection="1">
      <alignment vertical="center"/>
      <protection hidden="1"/>
    </xf>
    <xf numFmtId="165" fontId="20" fillId="51" borderId="52" xfId="82" applyNumberFormat="1" applyFont="1" applyFill="1" applyBorder="1" applyAlignment="1" applyProtection="1">
      <alignment vertical="center"/>
      <protection hidden="1"/>
    </xf>
    <xf numFmtId="165" fontId="20" fillId="51" borderId="53" xfId="82" applyNumberFormat="1" applyFont="1" applyFill="1" applyBorder="1" applyAlignment="1" applyProtection="1">
      <alignment vertical="center"/>
      <protection hidden="1"/>
    </xf>
    <xf numFmtId="165" fontId="20" fillId="51" borderId="54" xfId="82" applyNumberFormat="1" applyFont="1" applyFill="1" applyBorder="1" applyAlignment="1" applyProtection="1">
      <alignment vertical="center"/>
      <protection hidden="1"/>
    </xf>
    <xf numFmtId="0" fontId="20" fillId="50" borderId="77" xfId="0" applyFont="1" applyFill="1" applyBorder="1" applyAlignment="1" applyProtection="1">
      <alignment horizontal="center" vertical="center" wrapText="1"/>
      <protection hidden="1"/>
    </xf>
    <xf numFmtId="165" fontId="20" fillId="51" borderId="78" xfId="82" applyNumberFormat="1" applyFont="1" applyFill="1" applyBorder="1" applyAlignment="1" applyProtection="1">
      <alignment vertical="center"/>
      <protection hidden="1"/>
    </xf>
    <xf numFmtId="165" fontId="20" fillId="51" borderId="60" xfId="82" applyNumberFormat="1" applyFont="1" applyFill="1" applyBorder="1" applyAlignment="1" applyProtection="1">
      <alignment vertical="center"/>
      <protection hidden="1"/>
    </xf>
    <xf numFmtId="165" fontId="20" fillId="51" borderId="79" xfId="82" applyNumberFormat="1" applyFont="1" applyFill="1" applyBorder="1" applyAlignment="1" applyProtection="1">
      <alignment vertical="center"/>
      <protection hidden="1"/>
    </xf>
    <xf numFmtId="179" fontId="35" fillId="56" borderId="52" xfId="120" applyNumberFormat="1" applyFont="1" applyFill="1" applyBorder="1" applyAlignment="1" applyProtection="1">
      <alignment vertical="center"/>
      <protection hidden="1"/>
    </xf>
    <xf numFmtId="0" fontId="20" fillId="42" borderId="80" xfId="15" applyFont="1" applyFill="1" applyBorder="1" applyAlignment="1" applyProtection="1">
      <alignment horizontal="left" vertical="center"/>
      <protection hidden="1"/>
    </xf>
    <xf numFmtId="0" fontId="20" fillId="42" borderId="81" xfId="15" applyFont="1" applyFill="1" applyBorder="1" applyAlignment="1" applyProtection="1">
      <alignment horizontal="left" vertical="center"/>
      <protection hidden="1"/>
    </xf>
    <xf numFmtId="0" fontId="20" fillId="42" borderId="81" xfId="15" applyFont="1" applyFill="1" applyBorder="1" applyAlignment="1" applyProtection="1">
      <alignment horizontal="left" vertical="center" wrapText="1"/>
      <protection hidden="1"/>
    </xf>
    <xf numFmtId="0" fontId="20" fillId="42" borderId="82" xfId="0" applyFont="1" applyFill="1" applyBorder="1" applyAlignment="1" applyProtection="1">
      <alignment vertical="center"/>
      <protection hidden="1"/>
    </xf>
    <xf numFmtId="0" fontId="20" fillId="43" borderId="83" xfId="0" applyFont="1" applyFill="1" applyBorder="1" applyAlignment="1" applyProtection="1">
      <alignment vertical="center" wrapText="1"/>
      <protection hidden="1"/>
    </xf>
    <xf numFmtId="0" fontId="0" fillId="0" borderId="84" xfId="0" applyFont="1" applyBorder="1" applyAlignment="1" applyProtection="1">
      <alignment vertical="center"/>
      <protection locked="0"/>
    </xf>
    <xf numFmtId="0" fontId="22" fillId="0" borderId="0" xfId="0" applyFont="1" applyAlignment="1">
      <alignment/>
    </xf>
    <xf numFmtId="165" fontId="0" fillId="51" borderId="39" xfId="82" applyNumberFormat="1" applyFont="1" applyFill="1" applyBorder="1" applyAlignment="1" applyProtection="1">
      <alignment vertical="center"/>
      <protection hidden="1"/>
    </xf>
    <xf numFmtId="165" fontId="0" fillId="51" borderId="37" xfId="82" applyNumberFormat="1" applyFont="1" applyFill="1" applyBorder="1" applyAlignment="1" applyProtection="1">
      <alignment vertical="center"/>
      <protection hidden="1"/>
    </xf>
    <xf numFmtId="165" fontId="0" fillId="51" borderId="35" xfId="82" applyNumberFormat="1" applyFont="1" applyFill="1" applyBorder="1" applyAlignment="1" applyProtection="1">
      <alignment vertical="center"/>
      <protection hidden="1"/>
    </xf>
    <xf numFmtId="165" fontId="0" fillId="51" borderId="26" xfId="82" applyNumberFormat="1" applyFont="1" applyFill="1" applyBorder="1" applyAlignment="1" applyProtection="1">
      <alignment vertical="center"/>
      <protection hidden="1"/>
    </xf>
    <xf numFmtId="165" fontId="0" fillId="51" borderId="36" xfId="82" applyNumberFormat="1" applyFont="1" applyFill="1" applyBorder="1" applyAlignment="1" applyProtection="1">
      <alignment vertical="center"/>
      <protection hidden="1"/>
    </xf>
    <xf numFmtId="165" fontId="0" fillId="51" borderId="30" xfId="82" applyNumberFormat="1" applyFont="1" applyFill="1" applyBorder="1" applyAlignment="1" applyProtection="1">
      <alignment vertical="center"/>
      <protection hidden="1"/>
    </xf>
    <xf numFmtId="0" fontId="0" fillId="0" borderId="20" xfId="0" applyBorder="1" applyAlignment="1" applyProtection="1">
      <alignment horizontal="left"/>
      <protection locked="0"/>
    </xf>
    <xf numFmtId="0" fontId="0" fillId="0" borderId="34" xfId="15" applyFont="1" applyBorder="1" applyAlignment="1">
      <alignment horizontal="left"/>
      <protection/>
    </xf>
    <xf numFmtId="0" fontId="0" fillId="0" borderId="85" xfId="0" applyFont="1" applyBorder="1" applyAlignment="1" applyProtection="1">
      <alignment horizontal="left"/>
      <protection locked="0"/>
    </xf>
    <xf numFmtId="0" fontId="0" fillId="0" borderId="53" xfId="0" applyFont="1" applyBorder="1" applyAlignment="1" applyProtection="1">
      <alignment horizontal="left"/>
      <protection locked="0"/>
    </xf>
    <xf numFmtId="0" fontId="29" fillId="46" borderId="30" xfId="0" applyFont="1" applyFill="1" applyBorder="1" applyAlignment="1" applyProtection="1">
      <alignment horizontal="left" vertical="center" wrapText="1"/>
      <protection hidden="1"/>
    </xf>
    <xf numFmtId="0" fontId="0" fillId="0" borderId="86" xfId="0" applyFont="1" applyBorder="1" applyAlignment="1" applyProtection="1">
      <alignment/>
      <protection hidden="1"/>
    </xf>
    <xf numFmtId="0" fontId="0" fillId="0" borderId="87" xfId="0" applyFont="1" applyBorder="1" applyAlignment="1" applyProtection="1">
      <alignment/>
      <protection hidden="1"/>
    </xf>
    <xf numFmtId="0" fontId="0" fillId="0" borderId="88" xfId="0" applyFont="1" applyBorder="1" applyAlignment="1" applyProtection="1">
      <alignment/>
      <protection hidden="1"/>
    </xf>
    <xf numFmtId="0" fontId="0" fillId="0" borderId="89" xfId="15" applyFont="1" applyFill="1" applyBorder="1" applyAlignment="1" applyProtection="1">
      <alignment horizontal="left"/>
      <protection locked="0"/>
    </xf>
    <xf numFmtId="0" fontId="0" fillId="0" borderId="60" xfId="15" applyFont="1" applyFill="1" applyBorder="1" applyAlignment="1" applyProtection="1">
      <alignment horizontal="left"/>
      <protection locked="0"/>
    </xf>
    <xf numFmtId="0" fontId="0" fillId="0" borderId="37" xfId="15" applyFont="1" applyFill="1" applyBorder="1" applyAlignment="1" applyProtection="1">
      <alignment horizontal="left"/>
      <protection locked="0"/>
    </xf>
    <xf numFmtId="0" fontId="0" fillId="0" borderId="26" xfId="15" applyFont="1" applyFill="1" applyBorder="1" applyAlignment="1" applyProtection="1">
      <alignment horizontal="left"/>
      <protection locked="0"/>
    </xf>
    <xf numFmtId="0" fontId="0" fillId="0" borderId="90" xfId="15" applyFont="1" applyBorder="1" applyAlignment="1" applyProtection="1">
      <alignment horizontal="left" wrapText="1"/>
      <protection locked="0"/>
    </xf>
    <xf numFmtId="0" fontId="0" fillId="0" borderId="32" xfId="0" applyFont="1" applyBorder="1" applyAlignment="1" applyProtection="1">
      <alignment horizontal="left"/>
      <protection locked="0"/>
    </xf>
    <xf numFmtId="0" fontId="0" fillId="0" borderId="91" xfId="0" applyFont="1" applyBorder="1" applyAlignment="1" applyProtection="1">
      <alignment horizontal="left"/>
      <protection locked="0"/>
    </xf>
    <xf numFmtId="0" fontId="0" fillId="0" borderId="92" xfId="0" applyFont="1" applyBorder="1" applyAlignment="1" applyProtection="1">
      <alignment horizontal="left"/>
      <protection locked="0"/>
    </xf>
    <xf numFmtId="0" fontId="0" fillId="0" borderId="63" xfId="0" applyFont="1" applyBorder="1" applyAlignment="1" applyProtection="1">
      <alignment horizontal="left"/>
      <protection locked="0"/>
    </xf>
    <xf numFmtId="0" fontId="0" fillId="0" borderId="93" xfId="0" applyFont="1" applyBorder="1" applyAlignment="1" applyProtection="1">
      <alignment horizontal="left"/>
      <protection locked="0"/>
    </xf>
    <xf numFmtId="0" fontId="0" fillId="0" borderId="47" xfId="0" applyFont="1" applyBorder="1" applyAlignment="1" applyProtection="1">
      <alignment/>
      <protection hidden="1"/>
    </xf>
    <xf numFmtId="0" fontId="0" fillId="0" borderId="94" xfId="0" applyFont="1" applyBorder="1" applyAlignment="1" applyProtection="1">
      <alignment/>
      <protection hidden="1"/>
    </xf>
    <xf numFmtId="0" fontId="0" fillId="0" borderId="26" xfId="0" applyFont="1" applyBorder="1" applyAlignment="1" applyProtection="1">
      <alignment/>
      <protection hidden="1"/>
    </xf>
    <xf numFmtId="0" fontId="0" fillId="0" borderId="26" xfId="0" applyFont="1" applyFill="1" applyBorder="1" applyAlignment="1" applyProtection="1">
      <alignment horizontal="center" vertical="center" wrapText="1"/>
      <protection hidden="1"/>
    </xf>
    <xf numFmtId="0" fontId="0" fillId="0" borderId="26" xfId="0" applyFont="1" applyFill="1" applyBorder="1" applyAlignment="1" applyProtection="1">
      <alignment vertical="center" wrapText="1"/>
      <protection hidden="1"/>
    </xf>
    <xf numFmtId="0" fontId="0" fillId="0" borderId="47" xfId="0" applyFont="1" applyFill="1" applyBorder="1" applyAlignment="1" applyProtection="1">
      <alignment vertical="center" wrapText="1"/>
      <protection hidden="1"/>
    </xf>
    <xf numFmtId="0" fontId="0" fillId="0" borderId="26" xfId="0" applyFont="1" applyBorder="1" applyAlignment="1" applyProtection="1">
      <alignment horizontal="left"/>
      <protection hidden="1"/>
    </xf>
    <xf numFmtId="0" fontId="0" fillId="0" borderId="26" xfId="0" applyFont="1" applyBorder="1" applyAlignment="1" applyProtection="1">
      <alignment horizontal="left" vertical="center"/>
      <protection hidden="1"/>
    </xf>
    <xf numFmtId="0" fontId="0" fillId="0" borderId="47" xfId="0" applyFont="1" applyBorder="1" applyAlignment="1" applyProtection="1">
      <alignment horizontal="left" vertical="center"/>
      <protection hidden="1"/>
    </xf>
    <xf numFmtId="0" fontId="0" fillId="0" borderId="26" xfId="0" applyFont="1" applyBorder="1" applyAlignment="1" applyProtection="1">
      <alignment horizontal="left"/>
      <protection hidden="1"/>
    </xf>
    <xf numFmtId="0" fontId="0" fillId="0" borderId="26" xfId="0" applyFont="1" applyBorder="1" applyAlignment="1" applyProtection="1">
      <alignment horizontal="left"/>
      <protection hidden="1"/>
    </xf>
    <xf numFmtId="0" fontId="0" fillId="0" borderId="26" xfId="0" applyFont="1" applyBorder="1" applyAlignment="1" applyProtection="1">
      <alignment/>
      <protection hidden="1"/>
    </xf>
    <xf numFmtId="0" fontId="0" fillId="0" borderId="47" xfId="0" applyFont="1" applyBorder="1" applyAlignment="1" applyProtection="1">
      <alignment/>
      <protection hidden="1"/>
    </xf>
    <xf numFmtId="0" fontId="0" fillId="0" borderId="26" xfId="0" applyFont="1" applyBorder="1" applyAlignment="1" applyProtection="1">
      <alignment wrapText="1"/>
      <protection hidden="1"/>
    </xf>
    <xf numFmtId="0" fontId="0" fillId="0" borderId="26" xfId="0" applyFont="1" applyBorder="1" applyAlignment="1" applyProtection="1">
      <alignment horizontal="left" wrapText="1"/>
      <protection hidden="1"/>
    </xf>
    <xf numFmtId="0" fontId="0" fillId="0" borderId="26" xfId="0" applyFont="1" applyBorder="1" applyAlignment="1" applyProtection="1">
      <alignment horizontal="center"/>
      <protection hidden="1"/>
    </xf>
    <xf numFmtId="0" fontId="0" fillId="0" borderId="26" xfId="0" applyFont="1" applyFill="1" applyBorder="1" applyAlignment="1" applyProtection="1">
      <alignment horizontal="left"/>
      <protection hidden="1"/>
    </xf>
    <xf numFmtId="0" fontId="0" fillId="0" borderId="94" xfId="0" applyFont="1" applyFill="1" applyBorder="1" applyAlignment="1" applyProtection="1">
      <alignment/>
      <protection hidden="1"/>
    </xf>
    <xf numFmtId="0" fontId="0" fillId="0" borderId="60" xfId="0" applyFont="1" applyBorder="1" applyAlignment="1" applyProtection="1">
      <alignment/>
      <protection hidden="1"/>
    </xf>
    <xf numFmtId="0" fontId="29" fillId="46" borderId="95" xfId="0" applyFont="1" applyFill="1" applyBorder="1" applyAlignment="1" applyProtection="1">
      <alignment horizontal="center" vertical="center" wrapText="1"/>
      <protection hidden="1"/>
    </xf>
    <xf numFmtId="0" fontId="29" fillId="46" borderId="62" xfId="0" applyFont="1" applyFill="1" applyBorder="1" applyAlignment="1" applyProtection="1">
      <alignment horizontal="center" vertical="center" wrapText="1"/>
      <protection hidden="1"/>
    </xf>
    <xf numFmtId="0" fontId="29" fillId="46" borderId="96" xfId="0" applyFont="1" applyFill="1" applyBorder="1" applyAlignment="1" applyProtection="1">
      <alignment horizontal="center" vertical="center" wrapText="1"/>
      <protection hidden="1"/>
    </xf>
    <xf numFmtId="0" fontId="29" fillId="46" borderId="97" xfId="0" applyFont="1" applyFill="1" applyBorder="1" applyAlignment="1" applyProtection="1">
      <alignment horizontal="center" vertical="center" wrapText="1"/>
      <protection hidden="1"/>
    </xf>
    <xf numFmtId="0" fontId="29" fillId="46" borderId="98" xfId="0" applyFont="1" applyFill="1" applyBorder="1" applyAlignment="1" applyProtection="1">
      <alignment horizontal="center" vertical="center" wrapText="1"/>
      <protection hidden="1"/>
    </xf>
    <xf numFmtId="0" fontId="29" fillId="46" borderId="99" xfId="0" applyFont="1" applyFill="1" applyBorder="1" applyAlignment="1" applyProtection="1">
      <alignment horizontal="center" vertical="center" wrapText="1"/>
      <protection hidden="1"/>
    </xf>
    <xf numFmtId="0" fontId="0" fillId="51" borderId="20" xfId="0" applyFont="1" applyFill="1" applyBorder="1" applyAlignment="1" applyProtection="1">
      <alignment horizontal="justify" wrapText="1"/>
      <protection hidden="1"/>
    </xf>
    <xf numFmtId="0" fontId="0" fillId="0" borderId="100" xfId="0" applyFill="1" applyBorder="1" applyAlignment="1" applyProtection="1">
      <alignment horizontal="left"/>
      <protection locked="0"/>
    </xf>
    <xf numFmtId="0" fontId="0" fillId="0" borderId="100" xfId="0" applyFont="1" applyFill="1" applyBorder="1" applyAlignment="1" applyProtection="1">
      <alignment horizontal="left"/>
      <protection locked="0"/>
    </xf>
    <xf numFmtId="0" fontId="0" fillId="51" borderId="100" xfId="0" applyFont="1" applyFill="1" applyBorder="1" applyAlignment="1" applyProtection="1">
      <alignment horizontal="left" vertical="top"/>
      <protection locked="0"/>
    </xf>
    <xf numFmtId="0" fontId="23" fillId="57" borderId="100" xfId="25" applyNumberFormat="1" applyFont="1" applyFill="1" applyBorder="1" applyAlignment="1" applyProtection="1">
      <alignment horizontal="center" vertical="center" wrapText="1"/>
      <protection hidden="1"/>
    </xf>
    <xf numFmtId="0" fontId="20" fillId="0" borderId="100" xfId="0" applyFont="1" applyFill="1" applyBorder="1" applyAlignment="1" applyProtection="1">
      <alignment horizontal="left"/>
      <protection locked="0"/>
    </xf>
    <xf numFmtId="0" fontId="25" fillId="0" borderId="100" xfId="74" applyNumberFormat="1" applyFont="1" applyFill="1" applyBorder="1" applyAlignment="1" applyProtection="1">
      <alignment horizontal="left"/>
      <protection locked="0"/>
    </xf>
    <xf numFmtId="0" fontId="0" fillId="57" borderId="101" xfId="0" applyFont="1" applyFill="1" applyBorder="1" applyAlignment="1" applyProtection="1">
      <alignment horizontal="center" vertical="center" wrapText="1"/>
      <protection hidden="1"/>
    </xf>
    <xf numFmtId="0" fontId="20" fillId="57" borderId="102" xfId="25" applyNumberFormat="1" applyFont="1" applyFill="1" applyBorder="1" applyAlignment="1" applyProtection="1">
      <alignment horizontal="center" vertical="center" wrapText="1"/>
      <protection hidden="1"/>
    </xf>
    <xf numFmtId="0" fontId="20" fillId="57" borderId="103" xfId="25" applyNumberFormat="1" applyFont="1" applyFill="1" applyBorder="1" applyAlignment="1" applyProtection="1">
      <alignment horizontal="center" vertical="center" wrapText="1"/>
      <protection hidden="1"/>
    </xf>
    <xf numFmtId="0" fontId="20" fillId="57" borderId="104" xfId="0" applyFont="1" applyFill="1" applyBorder="1" applyAlignment="1" applyProtection="1">
      <alignment horizontal="center" vertical="center"/>
      <protection hidden="1"/>
    </xf>
    <xf numFmtId="0" fontId="0" fillId="57" borderId="105" xfId="0" applyFont="1" applyFill="1" applyBorder="1" applyAlignment="1" applyProtection="1">
      <alignment horizontal="center" vertical="center" wrapText="1"/>
      <protection hidden="1"/>
    </xf>
    <xf numFmtId="0" fontId="0" fillId="57" borderId="106" xfId="0" applyFont="1" applyFill="1" applyBorder="1" applyAlignment="1" applyProtection="1">
      <alignment horizontal="center" vertical="center" wrapText="1"/>
      <protection hidden="1"/>
    </xf>
    <xf numFmtId="0" fontId="0" fillId="57" borderId="107" xfId="0" applyFill="1" applyBorder="1" applyAlignment="1" applyProtection="1">
      <alignment horizontal="center" vertical="center" wrapText="1"/>
      <protection hidden="1"/>
    </xf>
    <xf numFmtId="0" fontId="0" fillId="57" borderId="108" xfId="0" applyFont="1" applyFill="1" applyBorder="1" applyAlignment="1" applyProtection="1">
      <alignment horizontal="center" vertical="center" wrapText="1"/>
      <protection hidden="1"/>
    </xf>
    <xf numFmtId="0" fontId="0" fillId="57" borderId="107" xfId="0" applyFont="1" applyFill="1" applyBorder="1" applyAlignment="1" applyProtection="1">
      <alignment horizontal="center" vertical="center" wrapText="1"/>
      <protection hidden="1"/>
    </xf>
    <xf numFmtId="0" fontId="0" fillId="57" borderId="109" xfId="0" applyFont="1" applyFill="1" applyBorder="1" applyAlignment="1" applyProtection="1">
      <alignment horizontal="center" vertical="center" wrapText="1"/>
      <protection hidden="1"/>
    </xf>
    <xf numFmtId="0" fontId="0" fillId="57" borderId="110" xfId="0" applyFont="1" applyFill="1" applyBorder="1" applyAlignment="1" applyProtection="1">
      <alignment horizontal="center" vertical="center" wrapText="1"/>
      <protection hidden="1"/>
    </xf>
    <xf numFmtId="0" fontId="0" fillId="57" borderId="111" xfId="0" applyFont="1" applyFill="1" applyBorder="1" applyAlignment="1" applyProtection="1">
      <alignment horizontal="center" vertical="center" wrapText="1"/>
      <protection hidden="1"/>
    </xf>
    <xf numFmtId="0" fontId="29" fillId="46" borderId="112" xfId="0" applyFont="1" applyFill="1" applyBorder="1" applyAlignment="1" applyProtection="1">
      <alignment horizontal="center" vertical="center" wrapText="1"/>
      <protection hidden="1"/>
    </xf>
    <xf numFmtId="0" fontId="29" fillId="46" borderId="113" xfId="0" applyFont="1" applyFill="1" applyBorder="1" applyAlignment="1" applyProtection="1">
      <alignment horizontal="center" vertical="center" wrapText="1"/>
      <protection hidden="1"/>
    </xf>
    <xf numFmtId="0" fontId="20" fillId="58" borderId="114" xfId="0" applyNumberFormat="1" applyFont="1" applyFill="1" applyBorder="1" applyAlignment="1" applyProtection="1">
      <alignment horizontal="center" vertical="center" wrapText="1"/>
      <protection hidden="1"/>
    </xf>
    <xf numFmtId="0" fontId="20" fillId="58" borderId="115" xfId="0" applyNumberFormat="1" applyFont="1" applyFill="1" applyBorder="1" applyAlignment="1" applyProtection="1">
      <alignment horizontal="center" vertical="center" wrapText="1"/>
      <protection hidden="1"/>
    </xf>
    <xf numFmtId="0" fontId="20" fillId="58" borderId="109" xfId="0" applyNumberFormat="1" applyFont="1" applyFill="1" applyBorder="1" applyAlignment="1" applyProtection="1">
      <alignment horizontal="center" vertical="center" wrapText="1"/>
      <protection hidden="1"/>
    </xf>
    <xf numFmtId="0" fontId="29" fillId="46" borderId="114" xfId="0" applyFont="1" applyFill="1" applyBorder="1" applyAlignment="1" applyProtection="1">
      <alignment horizontal="center" vertical="center" wrapText="1"/>
      <protection hidden="1"/>
    </xf>
    <xf numFmtId="0" fontId="29" fillId="46" borderId="109" xfId="0" applyFont="1" applyFill="1" applyBorder="1" applyAlignment="1" applyProtection="1">
      <alignment horizontal="center" vertical="center" wrapText="1"/>
      <protection hidden="1"/>
    </xf>
    <xf numFmtId="0" fontId="29" fillId="46" borderId="116" xfId="0" applyNumberFormat="1" applyFont="1" applyFill="1" applyBorder="1" applyAlignment="1" applyProtection="1">
      <alignment horizontal="center" vertical="center" wrapText="1"/>
      <protection hidden="1"/>
    </xf>
    <xf numFmtId="0" fontId="29" fillId="46" borderId="117" xfId="0" applyNumberFormat="1" applyFont="1" applyFill="1" applyBorder="1" applyAlignment="1" applyProtection="1">
      <alignment horizontal="center" vertical="center" wrapText="1"/>
      <protection hidden="1"/>
    </xf>
    <xf numFmtId="0" fontId="29" fillId="46" borderId="118" xfId="0" applyNumberFormat="1" applyFont="1" applyFill="1" applyBorder="1" applyAlignment="1" applyProtection="1">
      <alignment horizontal="center" vertical="center" wrapText="1"/>
      <protection hidden="1"/>
    </xf>
    <xf numFmtId="0" fontId="20" fillId="0" borderId="0" xfId="0" applyFont="1" applyAlignment="1" applyProtection="1">
      <alignment horizontal="center"/>
      <protection hidden="1"/>
    </xf>
    <xf numFmtId="0" fontId="20" fillId="0" borderId="26" xfId="0" applyFont="1" applyBorder="1" applyAlignment="1" applyProtection="1">
      <alignment horizontal="center"/>
      <protection hidden="1"/>
    </xf>
    <xf numFmtId="0" fontId="29" fillId="46" borderId="119" xfId="0" applyFont="1" applyFill="1" applyBorder="1" applyAlignment="1" applyProtection="1">
      <alignment horizontal="center" vertical="center"/>
      <protection hidden="1"/>
    </xf>
    <xf numFmtId="0" fontId="29" fillId="46" borderId="120" xfId="0" applyFont="1" applyFill="1" applyBorder="1" applyAlignment="1" applyProtection="1">
      <alignment horizontal="center" vertical="center"/>
      <protection hidden="1"/>
    </xf>
    <xf numFmtId="0" fontId="29" fillId="46" borderId="121" xfId="0" applyFont="1" applyFill="1" applyBorder="1" applyAlignment="1" applyProtection="1">
      <alignment horizontal="center" vertical="center"/>
      <protection hidden="1"/>
    </xf>
    <xf numFmtId="0" fontId="0" fillId="0" borderId="100" xfId="0" applyFont="1" applyFill="1" applyBorder="1" applyAlignment="1" applyProtection="1">
      <alignment horizontal="left"/>
      <protection hidden="1" locked="0"/>
    </xf>
    <xf numFmtId="0" fontId="0" fillId="51" borderId="100" xfId="0" applyFill="1" applyBorder="1" applyAlignment="1" applyProtection="1">
      <alignment horizontal="left" vertical="center"/>
      <protection hidden="1" locked="0"/>
    </xf>
    <xf numFmtId="0" fontId="0" fillId="51" borderId="100" xfId="0" applyFont="1" applyFill="1" applyBorder="1" applyAlignment="1" applyProtection="1">
      <alignment horizontal="left" vertical="center"/>
      <protection hidden="1" locked="0"/>
    </xf>
    <xf numFmtId="0" fontId="28" fillId="52" borderId="122" xfId="25" applyNumberFormat="1" applyFont="1" applyFill="1" applyBorder="1" applyAlignment="1" applyProtection="1">
      <alignment horizontal="center" vertical="center" wrapText="1"/>
      <protection hidden="1"/>
    </xf>
    <xf numFmtId="0" fontId="29" fillId="47" borderId="53" xfId="0" applyFont="1" applyFill="1" applyBorder="1" applyAlignment="1" applyProtection="1">
      <alignment horizontal="center" vertical="center"/>
      <protection hidden="1"/>
    </xf>
    <xf numFmtId="0" fontId="29" fillId="47" borderId="54" xfId="0" applyFont="1" applyFill="1" applyBorder="1" applyAlignment="1" applyProtection="1">
      <alignment horizontal="center" vertical="center"/>
      <protection hidden="1"/>
    </xf>
    <xf numFmtId="0" fontId="29" fillId="47" borderId="26" xfId="0" applyFont="1" applyFill="1" applyBorder="1" applyAlignment="1" applyProtection="1">
      <alignment horizontal="center" vertical="center" wrapText="1"/>
      <protection hidden="1"/>
    </xf>
    <xf numFmtId="0" fontId="29" fillId="47" borderId="30" xfId="0" applyFont="1" applyFill="1" applyBorder="1" applyAlignment="1" applyProtection="1">
      <alignment horizontal="center" vertical="center" wrapText="1"/>
      <protection hidden="1"/>
    </xf>
    <xf numFmtId="0" fontId="29" fillId="47" borderId="35" xfId="0" applyFont="1" applyFill="1" applyBorder="1" applyAlignment="1" applyProtection="1">
      <alignment horizontal="center" vertical="center" wrapText="1"/>
      <protection hidden="1"/>
    </xf>
    <xf numFmtId="0" fontId="20" fillId="58" borderId="67" xfId="0" applyNumberFormat="1" applyFont="1" applyFill="1" applyBorder="1" applyAlignment="1" applyProtection="1">
      <alignment horizontal="center" vertical="center" wrapText="1"/>
      <protection hidden="1"/>
    </xf>
    <xf numFmtId="0" fontId="20" fillId="58" borderId="68" xfId="0" applyNumberFormat="1" applyFont="1" applyFill="1" applyBorder="1" applyAlignment="1" applyProtection="1">
      <alignment horizontal="center" vertical="center" wrapText="1"/>
      <protection hidden="1"/>
    </xf>
    <xf numFmtId="0" fontId="20" fillId="58" borderId="69" xfId="0" applyNumberFormat="1" applyFont="1" applyFill="1" applyBorder="1" applyAlignment="1" applyProtection="1">
      <alignment horizontal="center" vertical="center" wrapText="1"/>
      <protection hidden="1"/>
    </xf>
    <xf numFmtId="0" fontId="33" fillId="0" borderId="38" xfId="0" applyFont="1" applyBorder="1" applyAlignment="1" applyProtection="1">
      <alignment horizontal="left" wrapText="1"/>
      <protection hidden="1"/>
    </xf>
    <xf numFmtId="0" fontId="33" fillId="0" borderId="33" xfId="0" applyFont="1" applyBorder="1" applyAlignment="1" applyProtection="1">
      <alignment horizontal="left" wrapText="1"/>
      <protection hidden="1"/>
    </xf>
    <xf numFmtId="0" fontId="33" fillId="0" borderId="41" xfId="0" applyFont="1" applyBorder="1" applyAlignment="1" applyProtection="1">
      <alignment horizontal="left" wrapText="1"/>
      <protection hidden="1"/>
    </xf>
    <xf numFmtId="0" fontId="0" fillId="42" borderId="30" xfId="0" applyFont="1" applyFill="1" applyBorder="1" applyAlignment="1" applyProtection="1">
      <alignment horizontal="left" vertical="center" wrapText="1"/>
      <protection hidden="1"/>
    </xf>
    <xf numFmtId="0" fontId="29" fillId="48" borderId="123" xfId="0" applyFont="1" applyFill="1" applyBorder="1" applyAlignment="1" applyProtection="1">
      <alignment horizontal="center" vertical="center"/>
      <protection hidden="1"/>
    </xf>
    <xf numFmtId="0" fontId="29" fillId="48" borderId="124" xfId="0" applyFont="1" applyFill="1" applyBorder="1" applyAlignment="1" applyProtection="1">
      <alignment horizontal="center" vertical="center"/>
      <protection hidden="1"/>
    </xf>
    <xf numFmtId="0" fontId="29" fillId="48" borderId="51" xfId="0" applyFont="1" applyFill="1" applyBorder="1" applyAlignment="1" applyProtection="1">
      <alignment horizontal="center" vertical="center"/>
      <protection hidden="1"/>
    </xf>
    <xf numFmtId="0" fontId="29" fillId="48" borderId="125" xfId="0" applyFont="1" applyFill="1" applyBorder="1" applyAlignment="1" applyProtection="1">
      <alignment horizontal="center" vertical="center" wrapText="1"/>
      <protection hidden="1"/>
    </xf>
    <xf numFmtId="0" fontId="29" fillId="48" borderId="126" xfId="0" applyFont="1" applyFill="1" applyBorder="1" applyAlignment="1" applyProtection="1">
      <alignment horizontal="center" vertical="center" wrapText="1"/>
      <protection hidden="1"/>
    </xf>
    <xf numFmtId="0" fontId="29" fillId="48" borderId="78" xfId="0" applyFont="1" applyFill="1" applyBorder="1" applyAlignment="1" applyProtection="1">
      <alignment horizontal="center" vertical="center" wrapText="1"/>
      <protection hidden="1"/>
    </xf>
    <xf numFmtId="0" fontId="29" fillId="48" borderId="26" xfId="0" applyFont="1" applyFill="1" applyBorder="1" applyAlignment="1" applyProtection="1">
      <alignment horizontal="center" vertical="center" wrapText="1"/>
      <protection hidden="1"/>
    </xf>
    <xf numFmtId="0" fontId="29" fillId="48" borderId="30" xfId="0" applyFont="1" applyFill="1" applyBorder="1" applyAlignment="1" applyProtection="1">
      <alignment horizontal="center" vertical="center" wrapText="1"/>
      <protection hidden="1"/>
    </xf>
    <xf numFmtId="0" fontId="20" fillId="58" borderId="127" xfId="0" applyNumberFormat="1" applyFont="1" applyFill="1" applyBorder="1" applyAlignment="1" applyProtection="1">
      <alignment horizontal="center" vertical="center" wrapText="1"/>
      <protection hidden="1"/>
    </xf>
    <xf numFmtId="0" fontId="20" fillId="58" borderId="128" xfId="0" applyNumberFormat="1" applyFont="1" applyFill="1" applyBorder="1" applyAlignment="1" applyProtection="1">
      <alignment horizontal="center" vertical="center" wrapText="1"/>
      <protection hidden="1"/>
    </xf>
    <xf numFmtId="0" fontId="20" fillId="58" borderId="44" xfId="0" applyNumberFormat="1" applyFont="1" applyFill="1" applyBorder="1" applyAlignment="1" applyProtection="1">
      <alignment horizontal="center" vertical="center" wrapText="1"/>
      <protection hidden="1"/>
    </xf>
    <xf numFmtId="0" fontId="20" fillId="58" borderId="0" xfId="0" applyNumberFormat="1" applyFont="1" applyFill="1" applyBorder="1" applyAlignment="1" applyProtection="1">
      <alignment horizontal="center" vertical="center" wrapText="1"/>
      <protection hidden="1"/>
    </xf>
    <xf numFmtId="0" fontId="20" fillId="58" borderId="40" xfId="0" applyNumberFormat="1" applyFont="1" applyFill="1" applyBorder="1" applyAlignment="1" applyProtection="1">
      <alignment horizontal="center" vertical="center" wrapText="1"/>
      <protection hidden="1"/>
    </xf>
    <xf numFmtId="0" fontId="20" fillId="58" borderId="129" xfId="0" applyNumberFormat="1" applyFont="1" applyFill="1" applyBorder="1" applyAlignment="1" applyProtection="1">
      <alignment horizontal="center" vertical="center" wrapText="1"/>
      <protection hidden="1"/>
    </xf>
    <xf numFmtId="0" fontId="0" fillId="42" borderId="26" xfId="0" applyFont="1" applyFill="1" applyBorder="1" applyAlignment="1" applyProtection="1">
      <alignment horizontal="left" vertical="center" wrapText="1"/>
      <protection hidden="1"/>
    </xf>
    <xf numFmtId="0" fontId="29" fillId="48" borderId="39" xfId="0" applyFont="1" applyFill="1" applyBorder="1" applyAlignment="1" applyProtection="1">
      <alignment horizontal="center" vertical="center" wrapText="1"/>
      <protection hidden="1"/>
    </xf>
    <xf numFmtId="0" fontId="29" fillId="48" borderId="37" xfId="0" applyFont="1" applyFill="1" applyBorder="1" applyAlignment="1" applyProtection="1">
      <alignment horizontal="center" vertical="center" wrapText="1"/>
      <protection hidden="1"/>
    </xf>
    <xf numFmtId="0" fontId="29" fillId="48" borderId="35" xfId="0" applyFont="1" applyFill="1" applyBorder="1" applyAlignment="1" applyProtection="1">
      <alignment horizontal="center" vertical="center" wrapText="1"/>
      <protection hidden="1"/>
    </xf>
    <xf numFmtId="0" fontId="29" fillId="48" borderId="71" xfId="0" applyFont="1" applyFill="1" applyBorder="1" applyAlignment="1" applyProtection="1">
      <alignment horizontal="center" vertical="center" wrapText="1"/>
      <protection hidden="1"/>
    </xf>
    <xf numFmtId="0" fontId="29" fillId="48" borderId="43" xfId="0" applyFont="1" applyFill="1" applyBorder="1" applyAlignment="1" applyProtection="1">
      <alignment horizontal="center" vertical="center" wrapText="1"/>
      <protection hidden="1"/>
    </xf>
    <xf numFmtId="0" fontId="29" fillId="48" borderId="33" xfId="0" applyFont="1" applyFill="1" applyBorder="1" applyAlignment="1" applyProtection="1">
      <alignment horizontal="center" vertical="center" wrapText="1"/>
      <protection hidden="1"/>
    </xf>
    <xf numFmtId="0" fontId="0" fillId="54" borderId="30" xfId="0" applyFont="1" applyFill="1" applyBorder="1" applyAlignment="1" applyProtection="1">
      <alignment horizontal="left" vertical="center" wrapText="1"/>
      <protection hidden="1"/>
    </xf>
    <xf numFmtId="0" fontId="0" fillId="0" borderId="26" xfId="0" applyFont="1" applyBorder="1" applyAlignment="1" applyProtection="1">
      <alignment horizontal="center"/>
      <protection hidden="1" locked="0"/>
    </xf>
    <xf numFmtId="0" fontId="0" fillId="0" borderId="53" xfId="0" applyFont="1" applyBorder="1" applyAlignment="1" applyProtection="1">
      <alignment horizontal="center"/>
      <protection hidden="1" locked="0"/>
    </xf>
    <xf numFmtId="0" fontId="0" fillId="42" borderId="130" xfId="0" applyFont="1" applyFill="1" applyBorder="1" applyAlignment="1" applyProtection="1">
      <alignment horizontal="left" vertical="center" wrapText="1"/>
      <protection hidden="1"/>
    </xf>
    <xf numFmtId="0" fontId="0" fillId="42" borderId="112" xfId="0" applyFont="1" applyFill="1" applyBorder="1" applyAlignment="1" applyProtection="1">
      <alignment horizontal="left" vertical="center" wrapText="1"/>
      <protection hidden="1"/>
    </xf>
    <xf numFmtId="0" fontId="0" fillId="42" borderId="131" xfId="0" applyFont="1" applyFill="1" applyBorder="1" applyAlignment="1" applyProtection="1">
      <alignment horizontal="left" vertical="center" wrapText="1"/>
      <protection hidden="1"/>
    </xf>
    <xf numFmtId="0" fontId="0" fillId="54" borderId="34" xfId="0" applyFont="1" applyFill="1" applyBorder="1" applyAlignment="1" applyProtection="1">
      <alignment horizontal="left" vertical="center" wrapText="1"/>
      <protection hidden="1"/>
    </xf>
    <xf numFmtId="0" fontId="0" fillId="0" borderId="34" xfId="0" applyFont="1" applyBorder="1" applyAlignment="1" applyProtection="1">
      <alignment horizontal="center"/>
      <protection hidden="1" locked="0"/>
    </xf>
    <xf numFmtId="0" fontId="0" fillId="0" borderId="85" xfId="0" applyFont="1" applyBorder="1" applyAlignment="1" applyProtection="1">
      <alignment horizontal="center"/>
      <protection hidden="1" locked="0"/>
    </xf>
    <xf numFmtId="0" fontId="0" fillId="54" borderId="26" xfId="0" applyFont="1" applyFill="1" applyBorder="1" applyAlignment="1" applyProtection="1">
      <alignment horizontal="left" vertical="center" wrapText="1"/>
      <protection hidden="1"/>
    </xf>
    <xf numFmtId="0" fontId="0" fillId="0" borderId="30" xfId="0" applyFont="1" applyBorder="1" applyAlignment="1" applyProtection="1">
      <alignment horizontal="center"/>
      <protection hidden="1" locked="0"/>
    </xf>
    <xf numFmtId="0" fontId="0" fillId="0" borderId="54" xfId="0" applyFont="1" applyBorder="1" applyAlignment="1" applyProtection="1">
      <alignment horizontal="center"/>
      <protection hidden="1" locked="0"/>
    </xf>
    <xf numFmtId="0" fontId="20" fillId="58" borderId="37" xfId="0" applyNumberFormat="1" applyFont="1" applyFill="1" applyBorder="1" applyAlignment="1" applyProtection="1">
      <alignment horizontal="center" vertical="center" wrapText="1"/>
      <protection hidden="1"/>
    </xf>
    <xf numFmtId="0" fontId="20" fillId="58" borderId="30" xfId="0" applyNumberFormat="1" applyFont="1" applyFill="1" applyBorder="1" applyAlignment="1" applyProtection="1">
      <alignment horizontal="center" vertical="center" wrapText="1"/>
      <protection hidden="1"/>
    </xf>
    <xf numFmtId="0" fontId="29" fillId="48" borderId="37" xfId="0" applyFont="1" applyFill="1" applyBorder="1" applyAlignment="1" applyProtection="1">
      <alignment horizontal="center" vertical="center"/>
      <protection hidden="1"/>
    </xf>
    <xf numFmtId="0" fontId="29" fillId="48" borderId="52" xfId="0" applyFont="1" applyFill="1" applyBorder="1" applyAlignment="1" applyProtection="1">
      <alignment horizontal="center" vertical="center"/>
      <protection hidden="1"/>
    </xf>
    <xf numFmtId="0" fontId="29" fillId="48" borderId="30" xfId="0" applyFont="1" applyFill="1" applyBorder="1" applyAlignment="1" applyProtection="1">
      <alignment horizontal="center" vertical="center"/>
      <protection hidden="1"/>
    </xf>
    <xf numFmtId="0" fontId="29" fillId="48" borderId="54" xfId="0" applyFont="1" applyFill="1" applyBorder="1" applyAlignment="1" applyProtection="1">
      <alignment horizontal="center" vertical="center"/>
      <protection hidden="1"/>
    </xf>
    <xf numFmtId="0" fontId="29" fillId="48" borderId="53" xfId="0" applyFont="1" applyFill="1" applyBorder="1" applyAlignment="1" applyProtection="1">
      <alignment horizontal="center" vertical="center"/>
      <protection hidden="1"/>
    </xf>
    <xf numFmtId="0" fontId="0" fillId="42" borderId="37" xfId="0" applyFont="1" applyFill="1" applyBorder="1" applyAlignment="1" applyProtection="1">
      <alignment horizontal="left" vertical="center" wrapText="1"/>
      <protection hidden="1"/>
    </xf>
    <xf numFmtId="0" fontId="0" fillId="54" borderId="37" xfId="0" applyFont="1" applyFill="1" applyBorder="1" applyAlignment="1" applyProtection="1">
      <alignment horizontal="left" vertical="center" wrapText="1"/>
      <protection hidden="1"/>
    </xf>
    <xf numFmtId="0" fontId="29" fillId="48" borderId="99" xfId="0" applyFont="1" applyFill="1" applyBorder="1" applyAlignment="1" applyProtection="1">
      <alignment horizontal="center" vertical="center" wrapText="1"/>
      <protection hidden="1"/>
    </xf>
    <xf numFmtId="0" fontId="29" fillId="48" borderId="128" xfId="0" applyFont="1" applyFill="1" applyBorder="1" applyAlignment="1" applyProtection="1">
      <alignment horizontal="center" vertical="center" wrapText="1"/>
      <protection hidden="1"/>
    </xf>
    <xf numFmtId="0" fontId="29" fillId="48" borderId="123" xfId="0" applyFont="1" applyFill="1" applyBorder="1" applyAlignment="1" applyProtection="1">
      <alignment horizontal="center" vertical="center" wrapText="1"/>
      <protection hidden="1"/>
    </xf>
    <xf numFmtId="0" fontId="29" fillId="48" borderId="36" xfId="0" applyFont="1" applyFill="1" applyBorder="1" applyAlignment="1" applyProtection="1">
      <alignment horizontal="center" vertical="center" wrapText="1"/>
      <protection hidden="1"/>
    </xf>
    <xf numFmtId="0" fontId="29" fillId="48" borderId="52" xfId="0" applyFont="1" applyFill="1" applyBorder="1" applyAlignment="1" applyProtection="1">
      <alignment horizontal="center" vertical="center" wrapText="1"/>
      <protection hidden="1"/>
    </xf>
    <xf numFmtId="0" fontId="20" fillId="58" borderId="71" xfId="0" applyNumberFormat="1" applyFont="1" applyFill="1" applyBorder="1" applyAlignment="1" applyProtection="1">
      <alignment horizontal="center" vertical="center" wrapText="1"/>
      <protection hidden="1"/>
    </xf>
    <xf numFmtId="0" fontId="20" fillId="58" borderId="43" xfId="0" applyNumberFormat="1" applyFont="1" applyFill="1" applyBorder="1" applyAlignment="1" applyProtection="1">
      <alignment horizontal="center" vertical="center" wrapText="1"/>
      <protection hidden="1"/>
    </xf>
    <xf numFmtId="0" fontId="20" fillId="58" borderId="33" xfId="0" applyNumberFormat="1" applyFont="1" applyFill="1" applyBorder="1" applyAlignment="1" applyProtection="1">
      <alignment horizontal="center" vertical="center" wrapText="1"/>
      <protection hidden="1"/>
    </xf>
    <xf numFmtId="0" fontId="29" fillId="48" borderId="76" xfId="0" applyFont="1" applyFill="1" applyBorder="1" applyAlignment="1" applyProtection="1">
      <alignment horizontal="center" vertical="center"/>
      <protection hidden="1"/>
    </xf>
    <xf numFmtId="0" fontId="29" fillId="48" borderId="45" xfId="0" applyFont="1" applyFill="1" applyBorder="1" applyAlignment="1" applyProtection="1">
      <alignment horizontal="center" vertical="center"/>
      <protection hidden="1"/>
    </xf>
    <xf numFmtId="0" fontId="29" fillId="48" borderId="41" xfId="0" applyFont="1" applyFill="1" applyBorder="1" applyAlignment="1" applyProtection="1">
      <alignment horizontal="center" vertical="center"/>
      <protection hidden="1"/>
    </xf>
    <xf numFmtId="0" fontId="29" fillId="49" borderId="83" xfId="0" applyFont="1" applyFill="1" applyBorder="1" applyAlignment="1" applyProtection="1">
      <alignment horizontal="center" vertical="center" wrapText="1"/>
      <protection hidden="1"/>
    </xf>
    <xf numFmtId="0" fontId="29" fillId="49" borderId="112" xfId="0" applyFont="1" applyFill="1" applyBorder="1" applyAlignment="1" applyProtection="1">
      <alignment horizontal="center" vertical="center" wrapText="1"/>
      <protection hidden="1"/>
    </xf>
    <xf numFmtId="0" fontId="29" fillId="49" borderId="50" xfId="0" applyFont="1" applyFill="1" applyBorder="1" applyAlignment="1" applyProtection="1">
      <alignment horizontal="center" vertical="center" wrapText="1"/>
      <protection hidden="1"/>
    </xf>
    <xf numFmtId="0" fontId="35" fillId="5" borderId="47" xfId="100" applyNumberFormat="1" applyFont="1" applyFill="1" applyBorder="1" applyAlignment="1" applyProtection="1">
      <alignment horizontal="center" vertical="center" wrapText="1"/>
      <protection hidden="1"/>
    </xf>
    <xf numFmtId="0" fontId="35" fillId="5" borderId="94" xfId="100" applyNumberFormat="1" applyFont="1" applyFill="1" applyBorder="1" applyAlignment="1" applyProtection="1">
      <alignment horizontal="center" vertical="center" wrapText="1"/>
      <protection hidden="1"/>
    </xf>
    <xf numFmtId="0" fontId="35" fillId="5" borderId="60" xfId="100" applyNumberFormat="1" applyFont="1" applyFill="1" applyBorder="1" applyAlignment="1" applyProtection="1">
      <alignment horizontal="center" vertical="center" wrapText="1"/>
      <protection hidden="1"/>
    </xf>
    <xf numFmtId="0" fontId="35" fillId="35" borderId="47" xfId="100" applyNumberFormat="1" applyFont="1" applyFill="1" applyBorder="1" applyAlignment="1" applyProtection="1">
      <alignment horizontal="center" vertical="center" wrapText="1"/>
      <protection hidden="1"/>
    </xf>
    <xf numFmtId="0" fontId="35" fillId="35" borderId="94" xfId="100" applyNumberFormat="1" applyFont="1" applyFill="1" applyBorder="1" applyAlignment="1" applyProtection="1">
      <alignment horizontal="center" vertical="center" wrapText="1"/>
      <protection hidden="1"/>
    </xf>
    <xf numFmtId="0" fontId="35" fillId="35" borderId="60" xfId="100" applyNumberFormat="1" applyFont="1" applyFill="1" applyBorder="1" applyAlignment="1" applyProtection="1">
      <alignment horizontal="center" vertical="center" wrapText="1"/>
      <protection hidden="1"/>
    </xf>
    <xf numFmtId="0" fontId="35" fillId="25" borderId="47" xfId="100" applyNumberFormat="1" applyFont="1" applyFill="1" applyBorder="1" applyAlignment="1" applyProtection="1">
      <alignment horizontal="center" vertical="center" wrapText="1"/>
      <protection hidden="1"/>
    </xf>
    <xf numFmtId="0" fontId="35" fillId="25" borderId="94" xfId="100" applyNumberFormat="1" applyFont="1" applyFill="1" applyBorder="1" applyAlignment="1" applyProtection="1">
      <alignment horizontal="center" vertical="center" wrapText="1"/>
      <protection hidden="1"/>
    </xf>
    <xf numFmtId="0" fontId="35" fillId="25" borderId="60" xfId="100" applyNumberFormat="1" applyFont="1" applyFill="1" applyBorder="1" applyAlignment="1" applyProtection="1">
      <alignment horizontal="center" vertical="center" wrapText="1"/>
      <protection hidden="1"/>
    </xf>
    <xf numFmtId="0" fontId="35" fillId="4" borderId="47" xfId="100" applyNumberFormat="1" applyFont="1" applyFill="1" applyBorder="1" applyAlignment="1" applyProtection="1">
      <alignment horizontal="center" vertical="center" wrapText="1"/>
      <protection hidden="1"/>
    </xf>
    <xf numFmtId="0" fontId="35" fillId="4" borderId="94" xfId="100" applyNumberFormat="1" applyFont="1" applyFill="1" applyBorder="1" applyAlignment="1" applyProtection="1">
      <alignment horizontal="center" vertical="center" wrapText="1"/>
      <protection hidden="1"/>
    </xf>
    <xf numFmtId="0" fontId="35" fillId="4" borderId="60" xfId="100" applyNumberFormat="1" applyFont="1" applyFill="1" applyBorder="1" applyAlignment="1" applyProtection="1">
      <alignment horizontal="center" vertical="center" wrapText="1"/>
      <protection hidden="1"/>
    </xf>
    <xf numFmtId="0" fontId="35" fillId="59" borderId="47" xfId="100" applyNumberFormat="1" applyFont="1" applyFill="1" applyBorder="1" applyAlignment="1" applyProtection="1">
      <alignment horizontal="center" vertical="center" wrapText="1"/>
      <protection hidden="1"/>
    </xf>
    <xf numFmtId="0" fontId="35" fillId="59" borderId="94" xfId="100" applyNumberFormat="1" applyFont="1" applyFill="1" applyBorder="1" applyAlignment="1" applyProtection="1">
      <alignment horizontal="center" vertical="center" wrapText="1"/>
      <protection hidden="1"/>
    </xf>
    <xf numFmtId="0" fontId="35" fillId="59" borderId="60" xfId="100" applyNumberFormat="1" applyFont="1" applyFill="1" applyBorder="1" applyAlignment="1" applyProtection="1">
      <alignment horizontal="center" vertical="center" wrapText="1"/>
      <protection hidden="1"/>
    </xf>
    <xf numFmtId="0" fontId="35" fillId="60" borderId="47" xfId="100" applyNumberFormat="1" applyFont="1" applyFill="1" applyBorder="1" applyAlignment="1" applyProtection="1">
      <alignment horizontal="center" vertical="center" wrapText="1"/>
      <protection hidden="1"/>
    </xf>
    <xf numFmtId="0" fontId="35" fillId="60" borderId="94" xfId="100" applyNumberFormat="1" applyFont="1" applyFill="1" applyBorder="1" applyAlignment="1" applyProtection="1">
      <alignment horizontal="center" vertical="center" wrapText="1"/>
      <protection hidden="1"/>
    </xf>
    <xf numFmtId="0" fontId="35" fillId="60" borderId="60" xfId="100" applyNumberFormat="1" applyFont="1" applyFill="1" applyBorder="1" applyAlignment="1" applyProtection="1">
      <alignment horizontal="center" vertical="center" wrapText="1"/>
      <protection hidden="1"/>
    </xf>
    <xf numFmtId="0" fontId="35" fillId="14" borderId="47" xfId="100" applyNumberFormat="1" applyFont="1" applyFill="1" applyBorder="1" applyAlignment="1" applyProtection="1">
      <alignment horizontal="center" vertical="center" wrapText="1"/>
      <protection hidden="1"/>
    </xf>
    <xf numFmtId="0" fontId="35" fillId="14" borderId="94" xfId="100" applyNumberFormat="1" applyFont="1" applyFill="1" applyBorder="1" applyAlignment="1" applyProtection="1">
      <alignment horizontal="center" vertical="center" wrapText="1"/>
      <protection hidden="1"/>
    </xf>
    <xf numFmtId="0" fontId="35" fillId="14" borderId="60" xfId="100" applyNumberFormat="1" applyFont="1" applyFill="1" applyBorder="1" applyAlignment="1" applyProtection="1">
      <alignment horizontal="center" vertical="center" wrapText="1"/>
      <protection hidden="1"/>
    </xf>
    <xf numFmtId="0" fontId="29" fillId="49" borderId="37" xfId="15" applyFont="1" applyFill="1" applyBorder="1" applyAlignment="1" applyProtection="1">
      <alignment horizontal="center" vertical="center" wrapText="1"/>
      <protection hidden="1"/>
    </xf>
    <xf numFmtId="0" fontId="29" fillId="49" borderId="52" xfId="15" applyFont="1" applyFill="1" applyBorder="1" applyAlignment="1" applyProtection="1">
      <alignment horizontal="center" vertical="center" wrapText="1"/>
      <protection hidden="1"/>
    </xf>
    <xf numFmtId="0" fontId="20" fillId="50" borderId="78" xfId="0" applyFont="1" applyFill="1" applyBorder="1" applyAlignment="1" applyProtection="1">
      <alignment horizontal="center" vertical="center" wrapText="1"/>
      <protection hidden="1"/>
    </xf>
    <xf numFmtId="0" fontId="20" fillId="50" borderId="37" xfId="0" applyFont="1" applyFill="1" applyBorder="1" applyAlignment="1" applyProtection="1">
      <alignment horizontal="center" vertical="center" wrapText="1"/>
      <protection hidden="1"/>
    </xf>
    <xf numFmtId="0" fontId="20" fillId="50" borderId="52" xfId="0" applyFont="1" applyFill="1" applyBorder="1" applyAlignment="1" applyProtection="1">
      <alignment horizontal="center" vertical="center" wrapText="1"/>
      <protection hidden="1"/>
    </xf>
    <xf numFmtId="0" fontId="29" fillId="46" borderId="39" xfId="15" applyFont="1" applyFill="1" applyBorder="1" applyAlignment="1" applyProtection="1">
      <alignment horizontal="center" vertical="center" wrapText="1"/>
      <protection hidden="1"/>
    </xf>
    <xf numFmtId="0" fontId="29" fillId="46" borderId="37" xfId="15" applyFont="1" applyFill="1" applyBorder="1" applyAlignment="1" applyProtection="1">
      <alignment horizontal="center" vertical="center" wrapText="1"/>
      <protection hidden="1"/>
    </xf>
    <xf numFmtId="0" fontId="29" fillId="52" borderId="37" xfId="15" applyFont="1" applyFill="1" applyBorder="1" applyAlignment="1" applyProtection="1">
      <alignment horizontal="center" vertical="center" wrapText="1"/>
      <protection hidden="1"/>
    </xf>
    <xf numFmtId="0" fontId="29" fillId="47" borderId="37" xfId="15" applyFont="1" applyFill="1" applyBorder="1" applyAlignment="1" applyProtection="1">
      <alignment horizontal="center" vertical="center" wrapText="1"/>
      <protection hidden="1"/>
    </xf>
    <xf numFmtId="0" fontId="29" fillId="48" borderId="37" xfId="15" applyFont="1" applyFill="1" applyBorder="1" applyAlignment="1" applyProtection="1">
      <alignment horizontal="center" vertical="center" wrapText="1"/>
      <protection hidden="1"/>
    </xf>
    <xf numFmtId="0" fontId="0" fillId="0" borderId="94" xfId="0" applyFont="1" applyBorder="1" applyAlignment="1" applyProtection="1">
      <alignment horizontal="center"/>
      <protection hidden="1"/>
    </xf>
    <xf numFmtId="0" fontId="0" fillId="0" borderId="47" xfId="0" applyFont="1" applyBorder="1" applyAlignment="1" applyProtection="1">
      <alignment horizontal="left"/>
      <protection hidden="1"/>
    </xf>
    <xf numFmtId="0" fontId="0" fillId="0" borderId="60" xfId="0" applyFont="1" applyBorder="1" applyAlignment="1" applyProtection="1">
      <alignment horizontal="left"/>
      <protection hidden="1"/>
    </xf>
    <xf numFmtId="0" fontId="0" fillId="0" borderId="94" xfId="0" applyFont="1" applyBorder="1" applyAlignment="1" applyProtection="1">
      <alignment horizontal="left"/>
      <protection hidden="1"/>
    </xf>
    <xf numFmtId="0" fontId="0" fillId="0" borderId="47" xfId="0" applyFont="1" applyFill="1" applyBorder="1" applyAlignment="1" applyProtection="1">
      <alignment horizontal="left"/>
      <protection hidden="1"/>
    </xf>
    <xf numFmtId="0" fontId="0" fillId="0" borderId="94" xfId="0" applyFont="1" applyFill="1" applyBorder="1" applyAlignment="1" applyProtection="1">
      <alignment horizontal="left"/>
      <protection hidden="1"/>
    </xf>
    <xf numFmtId="0" fontId="0" fillId="0" borderId="60" xfId="0" applyFont="1" applyFill="1" applyBorder="1" applyAlignment="1" applyProtection="1">
      <alignment horizontal="left"/>
      <protection hidden="1"/>
    </xf>
    <xf numFmtId="0" fontId="0" fillId="0" borderId="47" xfId="0" applyFont="1" applyFill="1" applyBorder="1" applyAlignment="1" applyProtection="1">
      <alignment horizontal="left" wrapText="1"/>
      <protection hidden="1"/>
    </xf>
    <xf numFmtId="0" fontId="0" fillId="0" borderId="94" xfId="0" applyFont="1" applyFill="1" applyBorder="1" applyAlignment="1" applyProtection="1">
      <alignment horizontal="left" wrapText="1"/>
      <protection hidden="1"/>
    </xf>
    <xf numFmtId="0" fontId="0" fillId="0" borderId="132" xfId="0" applyFont="1" applyBorder="1" applyAlignment="1" applyProtection="1">
      <alignment horizontal="left" vertical="center"/>
      <protection hidden="1" locked="0"/>
    </xf>
  </cellXfs>
  <cellStyles count="112">
    <cellStyle name="Normal" xfId="0"/>
    <cellStyle name="%" xfId="15"/>
    <cellStyle name="%_prova" xfId="16"/>
    <cellStyle name="_BTW_CNIPA_Allegato F1 Listino Prezzi_per Corghi - REVIEWED" xfId="17"/>
    <cellStyle name="_BTW_CNIPA_Allegato F1 Listino Prezzi_per Corghi - REVIEWED_22giu" xfId="18"/>
    <cellStyle name="_BTW_CNIPA_Allegato F1 Listino Prezzi_per Corghi - REVIEWED_22giu_ACC._QUADRO_RUPAR_SPC - All. 3.1 - Foglio di calcolo      Offerta Economica - Rev_1" xfId="19"/>
    <cellStyle name="_BTW_CNIPA_Allegato F1 Listino Prezzi_per Corghi - REVIEWED_22giu_listino" xfId="20"/>
    <cellStyle name="_BTW_CNIPA_Allegato F1 Listino Prezzi_per Corghi - REVIEWED_22giu_prova" xfId="21"/>
    <cellStyle name="_BTW_CNIPA_Allegato F1 Listino Prezzi_per Corghi - REVIEWED_ACC._QUADRO_RUPAR_SPC - All. 3.1 - Foglio di calcolo      Offerta Economica - Rev_1" xfId="22"/>
    <cellStyle name="_BTW_CNIPA_Allegato F1 Listino Prezzi_per Corghi - REVIEWED_listino" xfId="23"/>
    <cellStyle name="_BTW_CNIPA_Allegato F1 Listino Prezzi_per Corghi - REVIEWED_prova" xfId="24"/>
    <cellStyle name="0,0&#13;&#10;NA&#13;&#10;" xfId="25"/>
    <cellStyle name="20% - Accent1" xfId="26"/>
    <cellStyle name="20% - Accent2" xfId="27"/>
    <cellStyle name="20% - Accent3" xfId="28"/>
    <cellStyle name="20% - Accent4" xfId="29"/>
    <cellStyle name="20% - Accent5" xfId="30"/>
    <cellStyle name="20% - Accent6" xfId="31"/>
    <cellStyle name="20% - Colore 1" xfId="32"/>
    <cellStyle name="20% - Colore 2" xfId="33"/>
    <cellStyle name="20% - Colore 3" xfId="34"/>
    <cellStyle name="20% - Colore 4" xfId="35"/>
    <cellStyle name="20% - Colore 5" xfId="36"/>
    <cellStyle name="20% - Colore 6" xfId="37"/>
    <cellStyle name="40% - Accent1" xfId="38"/>
    <cellStyle name="40% - Accent2" xfId="39"/>
    <cellStyle name="40% - Accent3" xfId="40"/>
    <cellStyle name="40% - Accent4" xfId="41"/>
    <cellStyle name="40% - Accent5" xfId="42"/>
    <cellStyle name="40% - Accent6" xfId="43"/>
    <cellStyle name="40% - Colore 1" xfId="44"/>
    <cellStyle name="40% - Colore 2" xfId="45"/>
    <cellStyle name="40% - Colore 3" xfId="46"/>
    <cellStyle name="40% - Colore 4" xfId="47"/>
    <cellStyle name="40% - Colore 5" xfId="48"/>
    <cellStyle name="40% - Colore 6" xfId="49"/>
    <cellStyle name="60% - Accent1" xfId="50"/>
    <cellStyle name="60% - Accent2" xfId="51"/>
    <cellStyle name="60% - Accent3" xfId="52"/>
    <cellStyle name="60% - Accent4" xfId="53"/>
    <cellStyle name="60% - Accent5" xfId="54"/>
    <cellStyle name="60% - Accent6" xfId="55"/>
    <cellStyle name="60% - Colore 1" xfId="56"/>
    <cellStyle name="60% - Colore 2" xfId="57"/>
    <cellStyle name="60% - Colore 3" xfId="58"/>
    <cellStyle name="60% - Colore 4" xfId="59"/>
    <cellStyle name="60% - Colore 5" xfId="60"/>
    <cellStyle name="60% - Colore 6" xfId="61"/>
    <cellStyle name="Accent1" xfId="62"/>
    <cellStyle name="Accent2" xfId="63"/>
    <cellStyle name="Accent3" xfId="64"/>
    <cellStyle name="Accent4" xfId="65"/>
    <cellStyle name="Accent5" xfId="66"/>
    <cellStyle name="Accent6" xfId="67"/>
    <cellStyle name="Bad" xfId="68"/>
    <cellStyle name="Calcolo" xfId="69"/>
    <cellStyle name="Calculation" xfId="70"/>
    <cellStyle name="Cella collegata" xfId="71"/>
    <cellStyle name="Cella da controllare" xfId="72"/>
    <cellStyle name="Check Cell" xfId="73"/>
    <cellStyle name="Hyperlink" xfId="74"/>
    <cellStyle name="Followed Hyperlink" xfId="75"/>
    <cellStyle name="Colore 1" xfId="76"/>
    <cellStyle name="Colore 2" xfId="77"/>
    <cellStyle name="Colore 3" xfId="78"/>
    <cellStyle name="Colore 4" xfId="79"/>
    <cellStyle name="Colore 5" xfId="80"/>
    <cellStyle name="Colore 6" xfId="81"/>
    <cellStyle name="Euro" xfId="82"/>
    <cellStyle name="Euro 2" xfId="83"/>
    <cellStyle name="Euro_ACC._QUADRO_RUPAR_SPC - All. 3.1 - Foglio di calcolo      Offerta Economica - Rev_1" xfId="84"/>
    <cellStyle name="Explanatory Text" xfId="85"/>
    <cellStyle name="Good" xfId="86"/>
    <cellStyle name="Heading 1" xfId="87"/>
    <cellStyle name="Heading 2" xfId="88"/>
    <cellStyle name="Heading 3" xfId="89"/>
    <cellStyle name="Heading 4" xfId="90"/>
    <cellStyle name="Input" xfId="91"/>
    <cellStyle name="Linked Cell" xfId="92"/>
    <cellStyle name="Comma" xfId="93"/>
    <cellStyle name="Comma [0]" xfId="94"/>
    <cellStyle name="Migliaia 2" xfId="95"/>
    <cellStyle name="Neutral" xfId="96"/>
    <cellStyle name="Neutrale" xfId="97"/>
    <cellStyle name="Normale 2" xfId="98"/>
    <cellStyle name="Normale_ACC._QUADRO_RUPAR_SPC - All. 3.1 - Foglio di calcolo      Offerta Economica - Rev_1" xfId="99"/>
    <cellStyle name="Normale_listino" xfId="100"/>
    <cellStyle name="Normale_Piano dei Fabbisogni_2016_rev_7_mini" xfId="101"/>
    <cellStyle name="Nota" xfId="102"/>
    <cellStyle name="Note" xfId="103"/>
    <cellStyle name="Output" xfId="104"/>
    <cellStyle name="Percent" xfId="105"/>
    <cellStyle name="Percentuale 2" xfId="106"/>
    <cellStyle name="Stile 1" xfId="107"/>
    <cellStyle name="Testo avviso" xfId="108"/>
    <cellStyle name="Testo descrittivo" xfId="109"/>
    <cellStyle name="Title" xfId="110"/>
    <cellStyle name="Titolo" xfId="111"/>
    <cellStyle name="Titolo 1" xfId="112"/>
    <cellStyle name="Titolo 2" xfId="113"/>
    <cellStyle name="Titolo 3" xfId="114"/>
    <cellStyle name="Titolo 4" xfId="115"/>
    <cellStyle name="Total" xfId="116"/>
    <cellStyle name="Totale" xfId="117"/>
    <cellStyle name="Valore non valido" xfId="118"/>
    <cellStyle name="Valore valido" xfId="119"/>
    <cellStyle name="Currency" xfId="120"/>
    <cellStyle name="Currency [0]" xfId="121"/>
    <cellStyle name="Valuta_listino" xfId="122"/>
    <cellStyle name="Valuta_Piano dei Fabbisogni_2016_rev_7_mini" xfId="123"/>
    <cellStyle name="Valuta_prova" xfId="124"/>
    <cellStyle name="Warning Text" xfId="125"/>
  </cellStyles>
  <dxfs count="1">
    <dxf>
      <fill>
        <patternFill patternType="solid">
          <fgColor rgb="FFC0C0C0"/>
          <bgColor rgb="FFBFBFB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17"/>
  <sheetViews>
    <sheetView showGridLines="0" tabSelected="1" workbookViewId="0" topLeftCell="A1">
      <selection activeCell="A1" sqref="A1"/>
    </sheetView>
  </sheetViews>
  <sheetFormatPr defaultColWidth="9.140625" defaultRowHeight="12.75"/>
  <cols>
    <col min="1" max="1" width="3.140625" style="1" customWidth="1"/>
    <col min="2" max="2" width="3.57421875" style="2" customWidth="1"/>
    <col min="3" max="3" width="9.140625" style="2" customWidth="1"/>
    <col min="4" max="4" width="109.140625" style="3" customWidth="1"/>
    <col min="5" max="5" width="4.140625" style="2" customWidth="1"/>
    <col min="6" max="16384" width="9.140625" style="2" customWidth="1"/>
  </cols>
  <sheetData>
    <row r="1" ht="12.75" thickBot="1"/>
    <row r="2" spans="2:5" ht="12">
      <c r="B2" s="4"/>
      <c r="C2" s="5"/>
      <c r="D2" s="6"/>
      <c r="E2" s="7"/>
    </row>
    <row r="3" spans="2:5" ht="12.75">
      <c r="B3" s="8"/>
      <c r="C3" s="9" t="s">
        <v>523</v>
      </c>
      <c r="D3" s="10"/>
      <c r="E3" s="11"/>
    </row>
    <row r="4" spans="2:5" ht="100.5" customHeight="1">
      <c r="B4" s="8"/>
      <c r="C4" s="12"/>
      <c r="D4" s="239" t="s">
        <v>533</v>
      </c>
      <c r="E4" s="11"/>
    </row>
    <row r="5" spans="2:5" ht="88.5" customHeight="1">
      <c r="B5" s="8"/>
      <c r="C5" s="12"/>
      <c r="D5" s="240" t="s">
        <v>530</v>
      </c>
      <c r="E5" s="11"/>
    </row>
    <row r="6" spans="2:5" ht="12">
      <c r="B6" s="8"/>
      <c r="C6" s="12"/>
      <c r="D6" s="143"/>
      <c r="E6" s="11"/>
    </row>
    <row r="7" spans="2:9" ht="15">
      <c r="B7" s="8"/>
      <c r="C7" s="9" t="s">
        <v>0</v>
      </c>
      <c r="D7" s="10"/>
      <c r="E7" s="11"/>
      <c r="I7" s="267"/>
    </row>
    <row r="8" spans="2:9" ht="15">
      <c r="B8" s="8"/>
      <c r="C8" s="12"/>
      <c r="D8" s="317" t="s">
        <v>1</v>
      </c>
      <c r="E8" s="11"/>
      <c r="I8" s="267"/>
    </row>
    <row r="9" spans="2:5" ht="12">
      <c r="B9" s="8"/>
      <c r="C9" s="12"/>
      <c r="D9" s="317"/>
      <c r="E9" s="11"/>
    </row>
    <row r="10" spans="2:5" ht="49.5" customHeight="1">
      <c r="B10" s="8"/>
      <c r="C10" s="12"/>
      <c r="D10" s="317"/>
      <c r="E10" s="11"/>
    </row>
    <row r="11" spans="2:5" ht="12">
      <c r="B11" s="8"/>
      <c r="C11" s="12"/>
      <c r="D11" s="13"/>
      <c r="E11" s="11"/>
    </row>
    <row r="12" spans="2:5" ht="12.75">
      <c r="B12" s="8"/>
      <c r="C12" s="9" t="s">
        <v>2</v>
      </c>
      <c r="D12" s="12"/>
      <c r="E12" s="11"/>
    </row>
    <row r="13" spans="2:5" ht="12">
      <c r="B13" s="8"/>
      <c r="C13" s="12"/>
      <c r="D13" s="144" t="s">
        <v>524</v>
      </c>
      <c r="E13" s="11"/>
    </row>
    <row r="14" spans="2:5" ht="12">
      <c r="B14" s="8"/>
      <c r="C14" s="12"/>
      <c r="D14" s="13"/>
      <c r="E14" s="11"/>
    </row>
    <row r="15" spans="2:5" ht="12.75">
      <c r="B15" s="8"/>
      <c r="C15" s="9" t="s">
        <v>532</v>
      </c>
      <c r="D15" s="13"/>
      <c r="E15" s="11"/>
    </row>
    <row r="16" spans="2:5" ht="12">
      <c r="B16" s="8"/>
      <c r="C16" s="12"/>
      <c r="D16" s="144" t="s">
        <v>531</v>
      </c>
      <c r="E16" s="11"/>
    </row>
    <row r="17" spans="2:5" ht="12.75" thickBot="1">
      <c r="B17" s="16"/>
      <c r="C17" s="17"/>
      <c r="D17" s="18"/>
      <c r="E17" s="19"/>
    </row>
  </sheetData>
  <sheetProtection password="CCF0" sheet="1" objects="1" scenarios="1"/>
  <mergeCells count="1">
    <mergeCell ref="D8:D10"/>
  </mergeCells>
  <printOptions/>
  <pageMargins left="0.7875" right="0.7875" top="0.7875" bottom="0.78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B2:O12"/>
  <sheetViews>
    <sheetView zoomScale="85" zoomScaleNormal="85" workbookViewId="0" topLeftCell="A1">
      <selection activeCell="R40" sqref="R40"/>
    </sheetView>
  </sheetViews>
  <sheetFormatPr defaultColWidth="9.140625" defaultRowHeight="12.75"/>
  <cols>
    <col min="1" max="1" width="2.8515625" style="48" customWidth="1"/>
    <col min="2" max="2" width="27.57421875" style="48" customWidth="1"/>
    <col min="3" max="12" width="12.57421875" style="48" customWidth="1"/>
    <col min="13" max="17" width="15.57421875" style="48" customWidth="1"/>
    <col min="18" max="16384" width="9.140625" style="48" customWidth="1"/>
  </cols>
  <sheetData>
    <row r="1" ht="6" customHeight="1" thickBot="1"/>
    <row r="2" spans="2:3" ht="25.5" customHeight="1" thickBot="1">
      <c r="B2" s="265" t="s">
        <v>529</v>
      </c>
      <c r="C2" s="266">
        <v>48</v>
      </c>
    </row>
    <row r="3" spans="2:4" s="49" customFormat="1" ht="25.5" customHeight="1" thickBot="1">
      <c r="B3" s="50"/>
      <c r="D3" s="51"/>
    </row>
    <row r="4" spans="2:15" s="246" customFormat="1" ht="36" customHeight="1">
      <c r="B4" s="245"/>
      <c r="C4" s="449" t="s">
        <v>485</v>
      </c>
      <c r="D4" s="450"/>
      <c r="E4" s="451" t="s">
        <v>486</v>
      </c>
      <c r="F4" s="451"/>
      <c r="G4" s="452" t="s">
        <v>487</v>
      </c>
      <c r="H4" s="452"/>
      <c r="I4" s="453" t="s">
        <v>488</v>
      </c>
      <c r="J4" s="453"/>
      <c r="K4" s="444" t="s">
        <v>489</v>
      </c>
      <c r="L4" s="445"/>
      <c r="M4" s="446" t="s">
        <v>527</v>
      </c>
      <c r="N4" s="447"/>
      <c r="O4" s="448"/>
    </row>
    <row r="5" spans="2:15" ht="39" thickBot="1">
      <c r="B5" s="247"/>
      <c r="C5" s="249" t="s">
        <v>27</v>
      </c>
      <c r="D5" s="248" t="s">
        <v>484</v>
      </c>
      <c r="E5" s="248" t="s">
        <v>27</v>
      </c>
      <c r="F5" s="248" t="s">
        <v>484</v>
      </c>
      <c r="G5" s="248" t="s">
        <v>27</v>
      </c>
      <c r="H5" s="248" t="s">
        <v>484</v>
      </c>
      <c r="I5" s="248" t="s">
        <v>27</v>
      </c>
      <c r="J5" s="248" t="s">
        <v>484</v>
      </c>
      <c r="K5" s="248" t="s">
        <v>27</v>
      </c>
      <c r="L5" s="250" t="s">
        <v>484</v>
      </c>
      <c r="M5" s="256" t="s">
        <v>27</v>
      </c>
      <c r="N5" s="248" t="s">
        <v>484</v>
      </c>
      <c r="O5" s="250" t="s">
        <v>528</v>
      </c>
    </row>
    <row r="6" spans="2:15" ht="25.5" customHeight="1">
      <c r="B6" s="261" t="s">
        <v>502</v>
      </c>
      <c r="C6" s="268">
        <f>'Riepilogo Fabbisogni'!B123</f>
        <v>0</v>
      </c>
      <c r="D6" s="269">
        <f>'Riepilogo Fabbisogni'!G123</f>
        <v>0</v>
      </c>
      <c r="E6" s="269">
        <f>'Riepilogo Fabbisogni'!C123</f>
        <v>0</v>
      </c>
      <c r="F6" s="269">
        <f>'Riepilogo Fabbisogni'!H123</f>
        <v>0</v>
      </c>
      <c r="G6" s="269">
        <f>'Riepilogo Fabbisogni'!D123</f>
        <v>0</v>
      </c>
      <c r="H6" s="269">
        <f>'Riepilogo Fabbisogni'!I123</f>
        <v>0</v>
      </c>
      <c r="I6" s="269">
        <f>'Riepilogo Fabbisogni'!E123</f>
        <v>0</v>
      </c>
      <c r="J6" s="269">
        <f>'Riepilogo Fabbisogni'!J123</f>
        <v>0</v>
      </c>
      <c r="K6" s="269">
        <f>'Riepilogo Fabbisogni'!F123</f>
        <v>0</v>
      </c>
      <c r="L6" s="260"/>
      <c r="M6" s="257">
        <f>C6+E6+G6+I6+K6</f>
        <v>0</v>
      </c>
      <c r="N6" s="251">
        <f>D6+F6+H6+J6</f>
        <v>0</v>
      </c>
      <c r="O6" s="253">
        <f>M6+N6*$C$2</f>
        <v>0</v>
      </c>
    </row>
    <row r="7" spans="2:15" ht="25.5" customHeight="1">
      <c r="B7" s="262" t="s">
        <v>525</v>
      </c>
      <c r="C7" s="270">
        <f>'Riepilogo Fabbisogni'!B124</f>
        <v>0</v>
      </c>
      <c r="D7" s="271">
        <f>'Riepilogo Fabbisogni'!G124</f>
        <v>0</v>
      </c>
      <c r="E7" s="271">
        <f>'Riepilogo Fabbisogni'!C124</f>
        <v>0</v>
      </c>
      <c r="F7" s="271">
        <f>'Riepilogo Fabbisogni'!H124</f>
        <v>0</v>
      </c>
      <c r="G7" s="271">
        <f>'Riepilogo Fabbisogni'!D124</f>
        <v>0</v>
      </c>
      <c r="H7" s="271">
        <f>'Riepilogo Fabbisogni'!I124</f>
        <v>0</v>
      </c>
      <c r="I7" s="271">
        <f>'Riepilogo Fabbisogni'!E124</f>
        <v>0</v>
      </c>
      <c r="J7" s="271">
        <f>'Riepilogo Fabbisogni'!J124</f>
        <v>0</v>
      </c>
      <c r="K7" s="271">
        <f>'Riepilogo Fabbisogni'!F124</f>
        <v>0</v>
      </c>
      <c r="L7" s="237"/>
      <c r="M7" s="258">
        <f aca="true" t="shared" si="0" ref="M7:M12">C7+E7+G7+I7+K7</f>
        <v>0</v>
      </c>
      <c r="N7" s="139">
        <f aca="true" t="shared" si="1" ref="N7:N12">D7+F7+H7+J7</f>
        <v>0</v>
      </c>
      <c r="O7" s="254">
        <f aca="true" t="shared" si="2" ref="O7:O12">M7+N7*$C$2</f>
        <v>0</v>
      </c>
    </row>
    <row r="8" spans="2:15" ht="25.5" customHeight="1">
      <c r="B8" s="262" t="s">
        <v>504</v>
      </c>
      <c r="C8" s="270">
        <f>'Riepilogo Fabbisogni'!B125</f>
        <v>0</v>
      </c>
      <c r="D8" s="271">
        <f>'Riepilogo Fabbisogni'!G125</f>
        <v>0</v>
      </c>
      <c r="E8" s="271">
        <f>'Riepilogo Fabbisogni'!C125</f>
        <v>0</v>
      </c>
      <c r="F8" s="271">
        <f>'Riepilogo Fabbisogni'!H125</f>
        <v>0</v>
      </c>
      <c r="G8" s="271">
        <f>'Riepilogo Fabbisogni'!D125</f>
        <v>0</v>
      </c>
      <c r="H8" s="271">
        <f>'Riepilogo Fabbisogni'!I125</f>
        <v>0</v>
      </c>
      <c r="I8" s="271">
        <f>'Riepilogo Fabbisogni'!E125</f>
        <v>0</v>
      </c>
      <c r="J8" s="271">
        <f>'Riepilogo Fabbisogni'!J125</f>
        <v>0</v>
      </c>
      <c r="K8" s="271">
        <f>'Riepilogo Fabbisogni'!F125</f>
        <v>0</v>
      </c>
      <c r="L8" s="237"/>
      <c r="M8" s="258">
        <f t="shared" si="0"/>
        <v>0</v>
      </c>
      <c r="N8" s="139">
        <f t="shared" si="1"/>
        <v>0</v>
      </c>
      <c r="O8" s="254">
        <f t="shared" si="2"/>
        <v>0</v>
      </c>
    </row>
    <row r="9" spans="2:15" ht="25.5" customHeight="1">
      <c r="B9" s="262" t="s">
        <v>505</v>
      </c>
      <c r="C9" s="270">
        <f>'Riepilogo Fabbisogni'!B126</f>
        <v>0</v>
      </c>
      <c r="D9" s="271">
        <f>'Riepilogo Fabbisogni'!G126</f>
        <v>0</v>
      </c>
      <c r="E9" s="271">
        <f>'Riepilogo Fabbisogni'!C126</f>
        <v>0</v>
      </c>
      <c r="F9" s="271">
        <f>'Riepilogo Fabbisogni'!H126</f>
        <v>0</v>
      </c>
      <c r="G9" s="271">
        <f>'Riepilogo Fabbisogni'!D126</f>
        <v>0</v>
      </c>
      <c r="H9" s="271">
        <f>'Riepilogo Fabbisogni'!I126</f>
        <v>0</v>
      </c>
      <c r="I9" s="271">
        <f>'Riepilogo Fabbisogni'!E126</f>
        <v>0</v>
      </c>
      <c r="J9" s="271">
        <f>'Riepilogo Fabbisogni'!J126</f>
        <v>0</v>
      </c>
      <c r="K9" s="271">
        <f>'Riepilogo Fabbisogni'!F126</f>
        <v>0</v>
      </c>
      <c r="L9" s="237"/>
      <c r="M9" s="258">
        <f t="shared" si="0"/>
        <v>0</v>
      </c>
      <c r="N9" s="139">
        <f t="shared" si="1"/>
        <v>0</v>
      </c>
      <c r="O9" s="254">
        <f t="shared" si="2"/>
        <v>0</v>
      </c>
    </row>
    <row r="10" spans="2:15" ht="25.5" customHeight="1">
      <c r="B10" s="262" t="s">
        <v>526</v>
      </c>
      <c r="C10" s="270">
        <f>'Riepilogo Fabbisogni'!B127</f>
        <v>0</v>
      </c>
      <c r="D10" s="271">
        <f>'Riepilogo Fabbisogni'!G127</f>
        <v>0</v>
      </c>
      <c r="E10" s="271">
        <f>'Riepilogo Fabbisogni'!C127</f>
        <v>0</v>
      </c>
      <c r="F10" s="271">
        <f>'Riepilogo Fabbisogni'!H127</f>
        <v>0</v>
      </c>
      <c r="G10" s="271">
        <f>'Riepilogo Fabbisogni'!D127</f>
        <v>0</v>
      </c>
      <c r="H10" s="271">
        <f>'Riepilogo Fabbisogni'!I127</f>
        <v>0</v>
      </c>
      <c r="I10" s="271">
        <f>'Riepilogo Fabbisogni'!E127</f>
        <v>0</v>
      </c>
      <c r="J10" s="271">
        <f>'Riepilogo Fabbisogni'!J127</f>
        <v>0</v>
      </c>
      <c r="K10" s="271">
        <f>'Riepilogo Fabbisogni'!F127</f>
        <v>0</v>
      </c>
      <c r="L10" s="237"/>
      <c r="M10" s="258">
        <f t="shared" si="0"/>
        <v>0</v>
      </c>
      <c r="N10" s="139">
        <f t="shared" si="1"/>
        <v>0</v>
      </c>
      <c r="O10" s="254">
        <f t="shared" si="2"/>
        <v>0</v>
      </c>
    </row>
    <row r="11" spans="2:15" ht="25.5" customHeight="1">
      <c r="B11" s="263" t="s">
        <v>507</v>
      </c>
      <c r="C11" s="270">
        <f>'Riepilogo Fabbisogni'!B128</f>
        <v>0</v>
      </c>
      <c r="D11" s="271">
        <f>'Riepilogo Fabbisogni'!G128</f>
        <v>0</v>
      </c>
      <c r="E11" s="271">
        <f>'Riepilogo Fabbisogni'!C128</f>
        <v>0</v>
      </c>
      <c r="F11" s="271">
        <f>'Riepilogo Fabbisogni'!H128</f>
        <v>0</v>
      </c>
      <c r="G11" s="271">
        <f>'Riepilogo Fabbisogni'!D128</f>
        <v>0</v>
      </c>
      <c r="H11" s="271">
        <f>'Riepilogo Fabbisogni'!I128</f>
        <v>0</v>
      </c>
      <c r="I11" s="271">
        <f>'Riepilogo Fabbisogni'!E128</f>
        <v>0</v>
      </c>
      <c r="J11" s="271">
        <f>'Riepilogo Fabbisogni'!J128</f>
        <v>0</v>
      </c>
      <c r="K11" s="271">
        <f>'Riepilogo Fabbisogni'!F128</f>
        <v>0</v>
      </c>
      <c r="L11" s="237"/>
      <c r="M11" s="258">
        <f t="shared" si="0"/>
        <v>0</v>
      </c>
      <c r="N11" s="139">
        <f t="shared" si="1"/>
        <v>0</v>
      </c>
      <c r="O11" s="254">
        <f t="shared" si="2"/>
        <v>0</v>
      </c>
    </row>
    <row r="12" spans="2:15" ht="25.5" customHeight="1" thickBot="1">
      <c r="B12" s="264" t="s">
        <v>508</v>
      </c>
      <c r="C12" s="272">
        <f>'Riepilogo Fabbisogni'!B129</f>
        <v>0</v>
      </c>
      <c r="D12" s="273">
        <f>'Riepilogo Fabbisogni'!G129</f>
        <v>0</v>
      </c>
      <c r="E12" s="273">
        <f>'Riepilogo Fabbisogni'!C129</f>
        <v>0</v>
      </c>
      <c r="F12" s="273">
        <f>'Riepilogo Fabbisogni'!H129</f>
        <v>0</v>
      </c>
      <c r="G12" s="273">
        <f>'Riepilogo Fabbisogni'!D129</f>
        <v>0</v>
      </c>
      <c r="H12" s="273">
        <f>'Riepilogo Fabbisogni'!I129</f>
        <v>0</v>
      </c>
      <c r="I12" s="273">
        <f>'Riepilogo Fabbisogni'!E129</f>
        <v>0</v>
      </c>
      <c r="J12" s="273">
        <f>'Riepilogo Fabbisogni'!J129</f>
        <v>0</v>
      </c>
      <c r="K12" s="273">
        <f>'Riepilogo Fabbisogni'!F129</f>
        <v>0</v>
      </c>
      <c r="L12" s="238"/>
      <c r="M12" s="259">
        <f t="shared" si="0"/>
        <v>0</v>
      </c>
      <c r="N12" s="252">
        <f t="shared" si="1"/>
        <v>0</v>
      </c>
      <c r="O12" s="255">
        <f t="shared" si="2"/>
        <v>0</v>
      </c>
    </row>
  </sheetData>
  <sheetProtection password="CCF0" sheet="1" objects="1" scenarios="1"/>
  <mergeCells count="6">
    <mergeCell ref="K4:L4"/>
    <mergeCell ref="M4:O4"/>
    <mergeCell ref="C4:D4"/>
    <mergeCell ref="E4:F4"/>
    <mergeCell ref="G4:H4"/>
    <mergeCell ref="I4:J4"/>
  </mergeCells>
  <dataValidations count="1">
    <dataValidation type="whole" allowBlank="1" showErrorMessage="1" sqref="C3">
      <formula1>0</formula1>
      <formula2>12</formula2>
    </dataValidation>
  </dataValidation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C129"/>
  <sheetViews>
    <sheetView showGridLines="0" showZeros="0" zoomScale="85" zoomScaleNormal="85" workbookViewId="0" topLeftCell="A1">
      <selection activeCell="A75" sqref="A75:F75"/>
    </sheetView>
  </sheetViews>
  <sheetFormatPr defaultColWidth="9.140625" defaultRowHeight="12.75"/>
  <cols>
    <col min="1" max="1" width="17.00390625" style="303" customWidth="1"/>
    <col min="2" max="16384" width="10.57421875" style="303" customWidth="1"/>
  </cols>
  <sheetData>
    <row r="1" spans="1:29" s="294" customFormat="1" ht="12.75" customHeight="1">
      <c r="A1" s="292" t="s">
        <v>215</v>
      </c>
      <c r="B1" s="293"/>
      <c r="C1" s="293"/>
      <c r="D1" s="293"/>
      <c r="E1" s="293"/>
      <c r="F1" s="293"/>
      <c r="G1" s="293"/>
      <c r="H1" s="293"/>
      <c r="I1" s="293"/>
      <c r="J1" s="293"/>
      <c r="K1" s="293"/>
      <c r="L1" s="293"/>
      <c r="M1" s="293"/>
      <c r="N1" s="454" t="s">
        <v>502</v>
      </c>
      <c r="O1" s="454"/>
      <c r="P1" s="454" t="s">
        <v>503</v>
      </c>
      <c r="Q1" s="454"/>
      <c r="R1" s="454" t="s">
        <v>504</v>
      </c>
      <c r="S1" s="454"/>
      <c r="T1" s="454" t="s">
        <v>505</v>
      </c>
      <c r="U1" s="454"/>
      <c r="V1" s="454" t="s">
        <v>506</v>
      </c>
      <c r="W1" s="454"/>
      <c r="X1" s="454" t="s">
        <v>507</v>
      </c>
      <c r="Y1" s="454"/>
      <c r="Z1" s="454" t="s">
        <v>508</v>
      </c>
      <c r="AA1" s="454"/>
      <c r="AB1" s="454" t="s">
        <v>521</v>
      </c>
      <c r="AC1" s="454"/>
    </row>
    <row r="2" spans="1:29" s="59" customFormat="1" ht="62.25">
      <c r="A2" s="295" t="s">
        <v>216</v>
      </c>
      <c r="B2" s="296" t="s">
        <v>217</v>
      </c>
      <c r="C2" s="296" t="s">
        <v>79</v>
      </c>
      <c r="D2" s="296" t="s">
        <v>218</v>
      </c>
      <c r="E2" s="296" t="s">
        <v>80</v>
      </c>
      <c r="F2" s="296" t="s">
        <v>23</v>
      </c>
      <c r="G2" s="296" t="s">
        <v>494</v>
      </c>
      <c r="H2" s="296" t="s">
        <v>219</v>
      </c>
      <c r="I2" s="296" t="s">
        <v>90</v>
      </c>
      <c r="J2" s="296" t="s">
        <v>91</v>
      </c>
      <c r="K2" s="296" t="s">
        <v>92</v>
      </c>
      <c r="L2" s="296" t="s">
        <v>93</v>
      </c>
      <c r="M2" s="297" t="s">
        <v>94</v>
      </c>
      <c r="N2" s="297" t="s">
        <v>27</v>
      </c>
      <c r="O2" s="297" t="s">
        <v>501</v>
      </c>
      <c r="P2" s="297" t="s">
        <v>27</v>
      </c>
      <c r="Q2" s="297" t="s">
        <v>501</v>
      </c>
      <c r="R2" s="297" t="s">
        <v>27</v>
      </c>
      <c r="S2" s="297" t="s">
        <v>501</v>
      </c>
      <c r="T2" s="297" t="s">
        <v>27</v>
      </c>
      <c r="U2" s="297" t="s">
        <v>501</v>
      </c>
      <c r="V2" s="297" t="s">
        <v>27</v>
      </c>
      <c r="W2" s="297" t="s">
        <v>501</v>
      </c>
      <c r="X2" s="297" t="s">
        <v>27</v>
      </c>
      <c r="Y2" s="297" t="s">
        <v>501</v>
      </c>
      <c r="Z2" s="297" t="s">
        <v>27</v>
      </c>
      <c r="AA2" s="297" t="s">
        <v>501</v>
      </c>
      <c r="AB2" s="297" t="s">
        <v>27</v>
      </c>
      <c r="AC2" s="297" t="s">
        <v>501</v>
      </c>
    </row>
    <row r="3" spans="1:29" s="302" customFormat="1" ht="12" customHeight="1">
      <c r="A3" s="298">
        <v>1</v>
      </c>
      <c r="B3" s="299">
        <f>'Servizi di Trasporto Dati'!D5</f>
        <v>0</v>
      </c>
      <c r="C3" s="299">
        <f>'Servizi di Trasporto Dati'!E5</f>
        <v>0</v>
      </c>
      <c r="D3" s="299">
        <f>'Servizi di Trasporto Dati'!F5</f>
        <v>0</v>
      </c>
      <c r="E3" s="299">
        <f>IF(AND('Servizi di Trasporto Dati'!G5="Si",'Servizi di Trasporto Dati'!H5&lt;&gt;"Si"),"Si","")</f>
      </c>
      <c r="F3" s="299">
        <f>IF(AND('Servizi di Trasporto Dati'!G5&lt;&gt;"Si",'Servizi di Trasporto Dati'!H5="Si"),"Si","")</f>
      </c>
      <c r="G3" s="299">
        <f>IF(AND('Servizi di Trasporto Dati'!G5="Si",'Servizi di Trasporto Dati'!H5="Si"),"Si","")</f>
      </c>
      <c r="H3" s="299">
        <f>'Servizi di Trasporto Dati'!I5</f>
        <v>0</v>
      </c>
      <c r="I3" s="299">
        <f>'Servizi di Trasporto Dati'!J5</f>
        <v>0</v>
      </c>
      <c r="J3" s="299">
        <f>'Servizi di Trasporto Dati'!K5</f>
        <v>0</v>
      </c>
      <c r="K3" s="299">
        <f>'Servizi di Trasporto Dati'!L5</f>
        <v>0</v>
      </c>
      <c r="L3" s="299">
        <f>'Servizi di Trasporto Dati'!M5</f>
        <v>0</v>
      </c>
      <c r="M3" s="300">
        <f>'Servizi di Trasporto Dati'!N5</f>
        <v>0</v>
      </c>
      <c r="N3" s="301">
        <f>IF($B3&lt;&gt;0,VLOOKUP($B3,Listini!$A$2:$AD$40,3,FALSE)*(1+IF($E3="Si",(Listini!$E$43-100)/100,0)+IF($G3="Si",(Listini!$E$45-100)/100,0)),0)</f>
        <v>0</v>
      </c>
      <c r="O3" s="301">
        <f>IF($B3&lt;&gt;0,(VLOOKUP($B3,Listini!$A$2:$AD$40,4,FALSE)+IF($C3="Si",Listini!$D$41,0)+IF($D3="Si",Listini!$D$42,0)+IF($H3&lt;&gt;0,VLOOKUP($H3,Listini!$A$51:$AD$54,4,FALSE),0))*(1+IF($E3="Si",(Listini!$F$43-100)/100,0)+IF($F3="Si",(Listini!$F$44-100)/100,0)+IF($G3="Si",(Listini!$F$45-100)/100,0))+$I3*Listini!$D$46+'Riepilogo Fabbisogni'!J3*Listini!$D$47+'Riepilogo Fabbisogni'!K3*Listini!$D$48+'Riepilogo Fabbisogni'!L3*Listini!$D$49+$M3*Listini!$D$50,0)</f>
        <v>0</v>
      </c>
      <c r="P3" s="301">
        <f>IF($B3&lt;&gt;0,VLOOKUP($B3,Listini!$A$2:$AD$40,7,FALSE)*(1+IF($E3="Si",(Listini!$I$43-100)/100,0)+IF($G3="Si",(Listini!$I$45-100)/100,0)),0)</f>
        <v>0</v>
      </c>
      <c r="Q3" s="301">
        <f>IF($B3&lt;&gt;0,(VLOOKUP($B3,Listini!$A$2:$AD$40,8,FALSE)+IF($C3="Si",Listini!$H$41,0)+IF($D3="Si",Listini!$H$42,0)+IF($H3&lt;&gt;0,VLOOKUP($H3,Listini!$A$51:$AD$54,8,FALSE),0))*(1+IF($E3="Si",(Listini!$J$43-100)/100,0)+IF($F3="Si",(Listini!$J$44-100)/100,0)+IF($G3="Si",(Listini!$J$45-100)/100,0))+$I3*Listini!$H$46+'Riepilogo Fabbisogni'!J3*Listini!$H$47+'Riepilogo Fabbisogni'!K3*Listini!$H$48+'Riepilogo Fabbisogni'!L3*Listini!$H$49+$M3*Listini!$H$50,0)</f>
        <v>0</v>
      </c>
      <c r="R3" s="301">
        <f>IF($B3&lt;&gt;0,VLOOKUP($B3,Listini!$A$2:$AD$40,11,FALSE)*(1+IF($E3="Si",(Listini!$M$43-100)/100,0)+IF($G3="Si",(Listini!$M$45-100)/100,0)),0)</f>
        <v>0</v>
      </c>
      <c r="S3" s="301">
        <f>IF($B3&lt;&gt;0,(VLOOKUP($B3,Listini!$A$2:$AD$40,12,FALSE)+IF($C3="Si",Listini!$L$41,0)+IF($D3="Si",Listini!$L$42,0)+IF($H3&lt;&gt;0,VLOOKUP($H3,Listini!$A$51:$AD$54,12,FALSE),0))*(1+IF($E3="Si",(Listini!$N$43-100)/100,0)+IF($F3="Si",(Listini!$N$44-100)/100,0)+IF($G3="Si",(Listini!$N$45-100)/100,0))+$I3*Listini!$L$46+'Riepilogo Fabbisogni'!J3*Listini!$L$47+'Riepilogo Fabbisogni'!K3*Listini!$L$48+'Riepilogo Fabbisogni'!L3*Listini!$L$49+$M3*Listini!$L$50,0)</f>
        <v>0</v>
      </c>
      <c r="T3" s="302">
        <f>IF($B3&lt;&gt;0,VLOOKUP($B3,Listini!$A$2:$AD$40,15,FALSE)*(1+IF($E3="Si",(Listini!$Q$43-100)/100,0)+IF($G3="Si",(Listini!$Q$45-100)/100,0)),0)</f>
        <v>0</v>
      </c>
      <c r="U3" s="302">
        <f>IF($B3&lt;&gt;0,(VLOOKUP($B3,Listini!$A$2:$AD$40,16,FALSE)+IF($C3="Si",Listini!$P$41,0)+IF($D3="Si",Listini!$P$42,0)+IF($H3&lt;&gt;0,VLOOKUP($H3,Listini!$A$51:$AD$54,16,FALSE),0))*(1+IF($E3="Si",(Listini!$R$43-100)/100,0)+IF($F3="Si",(Listini!$R$44-100)/100,0)+IF($G3="Si",(Listini!$R$45-100)/100,0))+$I3*Listini!$P$46+'Riepilogo Fabbisogni'!J3*Listini!$P$47+'Riepilogo Fabbisogni'!K3*Listini!$P$48+'Riepilogo Fabbisogni'!L3*Listini!$P$49+$M3*Listini!$P$50,0)</f>
        <v>0</v>
      </c>
      <c r="V3" s="302">
        <f>IF($B3&lt;&gt;0,VLOOKUP($B3,Listini!$A$2:$AD$40,19,FALSE)*(1+IF($E3="Si",(Listini!$U$43-100)/100,0)+IF($G3="Si",(Listini!$U$45-100)/100,0)),0)</f>
        <v>0</v>
      </c>
      <c r="W3" s="302">
        <f>IF($B3&lt;&gt;0,(VLOOKUP($B3,Listini!$A$2:$AD$40,20,FALSE)+IF($C3="Si",Listini!$T$41,0)+IF($D3="Si",Listini!$T$42,0)+IF($H3&lt;&gt;0,VLOOKUP($H3,Listini!$A$51:$AD$54,20,FALSE),0))*(1+IF($E3="Si",(Listini!$V$43-100)/100,0)+IF($F3="Si",(Listini!$V$44-100)/100,0)+IF($G3="Si",(Listini!$V$45-100)/100,0))+$I3*Listini!$T$46+'Riepilogo Fabbisogni'!J3*Listini!$T$47+'Riepilogo Fabbisogni'!K3*Listini!$T$48+'Riepilogo Fabbisogni'!L3*Listini!$T$49+$M3*Listini!$T$50,0)</f>
        <v>0</v>
      </c>
      <c r="X3" s="302">
        <f>IF($B3&lt;&gt;0,VLOOKUP($B3,Listini!$A$2:$AD$40,23,FALSE)*(1+IF($E3="Si",(Listini!$Y$43-100)/100,0)+IF($G3="Si",(Listini!$Y$45-100)/100,0)),0)</f>
        <v>0</v>
      </c>
      <c r="Y3" s="302">
        <f>IF($B3&lt;&gt;0,(VLOOKUP($B3,Listini!$A$2:$AD$40,24,FALSE)+IF($C3="Si",Listini!$X$41,0)+IF($D3="Si",Listini!$X$42,0)+IF($H3&lt;&gt;0,VLOOKUP($H3,Listini!$A$51:$AD$54,24,FALSE),0))*(1+IF($E3="Si",(Listini!$Z$43-100)/100,0)+IF($F3="Si",(Listini!$Z$44-100)/100,0)+IF($G3="Si",(Listini!$Z$45-100)/100,0))+$I3*Listini!$X$46+'Riepilogo Fabbisogni'!J3*Listini!$X$47+'Riepilogo Fabbisogni'!K3*Listini!$X$48+'Riepilogo Fabbisogni'!L3*Listini!$X$49+$M3*Listini!$X$50,0)</f>
        <v>0</v>
      </c>
      <c r="Z3" s="302">
        <f>IF($B3&lt;&gt;0,VLOOKUP($B3,Listini!$A$2:$AD$40,27,FALSE)*(1+IF($E3="Si",(Listini!$AC$43-100)/100,0)+IF($G3="Si",(Listini!$AC$45-100)/100,0)),0)</f>
        <v>0</v>
      </c>
      <c r="AA3" s="302">
        <f>IF($B3&lt;&gt;0,(VLOOKUP($B3,Listini!$A$2:$AD$40,28,FALSE)+IF($C3="Si",Listini!$AB$41,0)+IF($D3="Si",Listini!$AB$42,0)+IF($H3&lt;&gt;0,VLOOKUP($H3,Listini!$A$51:$AD$54,28,FALSE),0))*(1+IF($E3="Si",(Listini!$AD$43-100)/100,0)+IF($F3="Si",(Listini!$AD$44-100)/100,0)+IF($G3="Si",(Listini!$AD$45-100)/100,0))+$I3*Listini!$AB$46+'Riepilogo Fabbisogni'!J3*Listini!$AB$47+'Riepilogo Fabbisogni'!K3*Listini!$AB$48+'Riepilogo Fabbisogni'!L3*Listini!$AB$49+$M3*Listini!$AB$50,0)</f>
        <v>0</v>
      </c>
      <c r="AB3" s="302">
        <f>IF($B3&lt;&gt;0,VLOOKUP($B3,'Listino Offerta'!$A$3:$F$40,3,FALSE)*(1+IF($E3="Si",('Listino Offerta'!$E$43-100)/100,0)+IF($G3="Si",('Listino Offerta'!$E$45-100)/100,0)),0)</f>
        <v>0</v>
      </c>
      <c r="AC3" s="302">
        <f>IF($B3&lt;&gt;0,(VLOOKUP($B3,'Listino Offerta'!$A$2:$AD$40,4,FALSE)+IF($C3="Si",'Listino Offerta'!$D$41,0)+IF($D3="Si",'Listino Offerta'!$D$42,0)+IF($H3&lt;&gt;0,VLOOKUP($H3,'Listino Offerta'!$A$51:$AD$54,4,FALSE),0))*(1+IF($E3="Si",('Listino Offerta'!$F$43-100)/100,0)+IF($F3="Si",('Listino Offerta'!$F$44-100)/100,0)+IF($G3="Si",('Listino Offerta'!$F$45-100)/100,0))+$I3*'Listino Offerta'!$D$46+'Riepilogo Fabbisogni'!J3*'Listino Offerta'!$D$47+'Riepilogo Fabbisogni'!K3*'Listino Offerta'!$D$48+'Riepilogo Fabbisogni'!L3*'Listino Offerta'!$D$49+$M3*'Listino Offerta'!$D$50,0)</f>
        <v>0</v>
      </c>
    </row>
    <row r="4" spans="1:29" s="302" customFormat="1" ht="12" customHeight="1">
      <c r="A4" s="298">
        <v>2</v>
      </c>
      <c r="B4" s="299">
        <f>'Servizi di Trasporto Dati'!D6</f>
        <v>0</v>
      </c>
      <c r="C4" s="299">
        <f>'Servizi di Trasporto Dati'!E6</f>
        <v>0</v>
      </c>
      <c r="D4" s="299">
        <f>'Servizi di Trasporto Dati'!F6</f>
        <v>0</v>
      </c>
      <c r="E4" s="299">
        <f>IF(AND('Servizi di Trasporto Dati'!G6="Si",'Servizi di Trasporto Dati'!H6&lt;&gt;"Si"),"Si","")</f>
      </c>
      <c r="F4" s="299">
        <f>IF(AND('Servizi di Trasporto Dati'!G6&lt;&gt;"Si",'Servizi di Trasporto Dati'!H6="Si"),"Si","")</f>
      </c>
      <c r="G4" s="299">
        <f>IF(AND('Servizi di Trasporto Dati'!G6="Si",'Servizi di Trasporto Dati'!H6="Si"),"Si","")</f>
      </c>
      <c r="H4" s="299">
        <f>'Servizi di Trasporto Dati'!I6</f>
        <v>0</v>
      </c>
      <c r="I4" s="299">
        <f>'Servizi di Trasporto Dati'!J6</f>
        <v>0</v>
      </c>
      <c r="J4" s="299">
        <f>'Servizi di Trasporto Dati'!K6</f>
        <v>0</v>
      </c>
      <c r="K4" s="299">
        <f>'Servizi di Trasporto Dati'!L6</f>
        <v>0</v>
      </c>
      <c r="L4" s="299">
        <f>'Servizi di Trasporto Dati'!M6</f>
        <v>0</v>
      </c>
      <c r="M4" s="300">
        <f>'Servizi di Trasporto Dati'!N6</f>
        <v>0</v>
      </c>
      <c r="N4" s="301">
        <f>IF($B4&lt;&gt;0,VLOOKUP($B4,Listini!$A$2:$AD$40,3,FALSE)*(1+IF($E4="Si",(Listini!$E$43-100)/100,0)+IF($G4="Si",(Listini!$E$45-100)/100,0)),0)</f>
        <v>0</v>
      </c>
      <c r="O4" s="301">
        <f>IF($B4&lt;&gt;0,(VLOOKUP($B4,Listini!$A$2:$AD$40,4,FALSE)+IF($C4="Si",Listini!$D$41,0)+IF($D4="Si",Listini!$D$42,0)+IF($H4&lt;&gt;0,VLOOKUP($H4,Listini!$A$51:$AD$54,4,FALSE),0))*(1+IF($E4="Si",(Listini!$F$43-100)/100,0)+IF($F4="Si",(Listini!$F$44-100)/100,0)+IF($G4="Si",(Listini!$F$45-100)/100,0))+$I4*Listini!$D$46+'Riepilogo Fabbisogni'!J4*Listini!$D$47+'Riepilogo Fabbisogni'!K4*Listini!$D$48+'Riepilogo Fabbisogni'!L4*Listini!$D$49+$M4*Listini!$D$50,0)</f>
        <v>0</v>
      </c>
      <c r="P4" s="301">
        <f>IF($B4&lt;&gt;0,VLOOKUP($B4,Listini!$A$2:$AD$40,7,FALSE)*(1+IF($E4="Si",(Listini!$I$43-100)/100,0)+IF($G4="Si",(Listini!$I$45-100)/100,0)),0)</f>
        <v>0</v>
      </c>
      <c r="Q4" s="301">
        <f>IF($B4&lt;&gt;0,(VLOOKUP($B4,Listini!$A$2:$AD$40,8,FALSE)+IF($C4="Si",Listini!$H$41,0)+IF($D4="Si",Listini!$H$42,0)+IF($H4&lt;&gt;0,VLOOKUP($H4,Listini!$A$51:$AD$54,8,FALSE),0))*(1+IF($E4="Si",(Listini!$J$43-100)/100,0)+IF($F4="Si",(Listini!$J$44-100)/100,0)+IF($G4="Si",(Listini!$J$45-100)/100,0))+$I4*Listini!$H$46+'Riepilogo Fabbisogni'!J4*Listini!$H$47+'Riepilogo Fabbisogni'!K4*Listini!$H$48+'Riepilogo Fabbisogni'!L4*Listini!$H$49+$M4*Listini!$H$50,0)</f>
        <v>0</v>
      </c>
      <c r="R4" s="301">
        <f>IF($B4&lt;&gt;0,VLOOKUP($B4,Listini!$A$2:$AD$40,11,FALSE)*(1+IF($E4="Si",(Listini!$M$43-100)/100,0)+IF($G4="Si",(Listini!$M$45-100)/100,0)),0)</f>
        <v>0</v>
      </c>
      <c r="S4" s="301">
        <f>IF($B4&lt;&gt;0,(VLOOKUP($B4,Listini!$A$2:$AD$40,12,FALSE)+IF($C4="Si",Listini!$L$41,0)+IF($D4="Si",Listini!$L$42,0)+IF($H4&lt;&gt;0,VLOOKUP($H4,Listini!$A$51:$AD$54,12,FALSE),0))*(1+IF($E4="Si",(Listini!$N$43-100)/100,0)+IF($F4="Si",(Listini!$N$44-100)/100,0)+IF($G4="Si",(Listini!$N$45-100)/100,0))+$I4*Listini!$L$46+'Riepilogo Fabbisogni'!J4*Listini!$L$47+'Riepilogo Fabbisogni'!K4*Listini!$L$48+'Riepilogo Fabbisogni'!L4*Listini!$L$49+$M4*Listini!$L$50,0)</f>
        <v>0</v>
      </c>
      <c r="T4" s="302">
        <f>IF($B4&lt;&gt;0,VLOOKUP($B4,Listini!$A$2:$AD$40,15,FALSE)*(1+IF($E4="Si",(Listini!$Q$43-100)/100,0)+IF($G4="Si",(Listini!$Q$45-100)/100,0)),0)</f>
        <v>0</v>
      </c>
      <c r="U4" s="302">
        <f>IF($B4&lt;&gt;0,(VLOOKUP($B4,Listini!$A$2:$AD$40,16,FALSE)+IF($C4="Si",Listini!$P$41,0)+IF($D4="Si",Listini!$P$42,0)+IF($H4&lt;&gt;0,VLOOKUP($H4,Listini!$A$51:$AD$54,16,FALSE),0))*(1+IF($E4="Si",(Listini!$R$43-100)/100,0)+IF($F4="Si",(Listini!$R$44-100)/100,0)+IF($G4="Si",(Listini!$R$45-100)/100,0))+$I4*Listini!$P$46+'Riepilogo Fabbisogni'!J4*Listini!$P$47+'Riepilogo Fabbisogni'!K4*Listini!$P$48+'Riepilogo Fabbisogni'!L4*Listini!$P$49+$M4*Listini!$P$50,0)</f>
        <v>0</v>
      </c>
      <c r="V4" s="302">
        <f>IF($B4&lt;&gt;0,VLOOKUP($B4,Listini!$A$2:$AD$40,19,FALSE)*(1+IF($E4="Si",(Listini!$U$43-100)/100,0)+IF($G4="Si",(Listini!$U$45-100)/100,0)),0)</f>
        <v>0</v>
      </c>
      <c r="W4" s="302">
        <f>IF($B4&lt;&gt;0,(VLOOKUP($B4,Listini!$A$2:$AD$40,20,FALSE)+IF($C4="Si",Listini!$T$41,0)+IF($D4="Si",Listini!$T$42,0)+IF($H4&lt;&gt;0,VLOOKUP($H4,Listini!$A$51:$AD$54,20,FALSE),0))*(1+IF($E4="Si",(Listini!$V$43-100)/100,0)+IF($F4="Si",(Listini!$V$44-100)/100,0)+IF($G4="Si",(Listini!$V$45-100)/100,0))+$I4*Listini!$T$46+'Riepilogo Fabbisogni'!J4*Listini!$T$47+'Riepilogo Fabbisogni'!K4*Listini!$T$48+'Riepilogo Fabbisogni'!L4*Listini!$T$49+$M4*Listini!$T$50,0)</f>
        <v>0</v>
      </c>
      <c r="X4" s="302">
        <f>IF($B4&lt;&gt;0,VLOOKUP($B4,Listini!$A$2:$AD$40,23,FALSE)*(1+IF($E4="Si",(Listini!$Y$43-100)/100,0)+IF($G4="Si",(Listini!$Y$45-100)/100,0)),0)</f>
        <v>0</v>
      </c>
      <c r="Y4" s="302">
        <f>IF($B4&lt;&gt;0,(VLOOKUP($B4,Listini!$A$2:$AD$40,24,FALSE)+IF($C4="Si",Listini!$X$41,0)+IF($D4="Si",Listini!$X$42,0)+IF($H4&lt;&gt;0,VLOOKUP($H4,Listini!$A$51:$AD$54,24,FALSE),0))*(1+IF($E4="Si",(Listini!$Z$43-100)/100,0)+IF($F4="Si",(Listini!$Z$44-100)/100,0)+IF($G4="Si",(Listini!$Z$45-100)/100,0))+$I4*Listini!$X$46+'Riepilogo Fabbisogni'!J4*Listini!$X$47+'Riepilogo Fabbisogni'!K4*Listini!$X$48+'Riepilogo Fabbisogni'!L4*Listini!$X$49+$M4*Listini!$X$50,0)</f>
        <v>0</v>
      </c>
      <c r="Z4" s="302">
        <f>IF($B4&lt;&gt;0,VLOOKUP($B4,Listini!$A$2:$AD$40,27,FALSE)*(1+IF($E4="Si",(Listini!$AC$43-100)/100,0)+IF($G4="Si",(Listini!$AC$45-100)/100,0)),0)</f>
        <v>0</v>
      </c>
      <c r="AA4" s="302">
        <f>IF($B4&lt;&gt;0,(VLOOKUP($B4,Listini!$A$2:$AD$40,28,FALSE)+IF($C4="Si",Listini!$AB$41,0)+IF($D4="Si",Listini!$AB$42,0)+IF($H4&lt;&gt;0,VLOOKUP($H4,Listini!$A$51:$AD$54,28,FALSE),0))*(1+IF($E4="Si",(Listini!$AD$43-100)/100,0)+IF($F4="Si",(Listini!$AD$44-100)/100,0)+IF($G4="Si",(Listini!$AD$45-100)/100,0))+$I4*Listini!$AB$46+'Riepilogo Fabbisogni'!J4*Listini!$AB$47+'Riepilogo Fabbisogni'!K4*Listini!$AB$48+'Riepilogo Fabbisogni'!L4*Listini!$AB$49+$M4*Listini!$AB$50,0)</f>
        <v>0</v>
      </c>
      <c r="AB4" s="302">
        <f>IF($B4&lt;&gt;0,VLOOKUP($B4,'Listino Offerta'!$A$3:$F$40,3,FALSE)*(1+IF($E4="Si",('Listino Offerta'!$E$43-100)/100,0)+IF($G4="Si",('Listino Offerta'!$E$45-100)/100,0)),0)</f>
        <v>0</v>
      </c>
      <c r="AC4" s="302">
        <f>IF($B4&lt;&gt;0,(VLOOKUP($B4,'Listino Offerta'!$A$2:$AD$40,4,FALSE)+IF($C4="Si",'Listino Offerta'!$D$41,0)+IF($D4="Si",'Listino Offerta'!$D$42,0)+IF($H4&lt;&gt;0,VLOOKUP($H4,'Listino Offerta'!$A$51:$AD$54,4,FALSE),0))*(1+IF($E4="Si",('Listino Offerta'!$F$43-100)/100,0)+IF($F4="Si",('Listino Offerta'!$F$44-100)/100,0)+IF($G4="Si",('Listino Offerta'!$F$45-100)/100,0))+$I4*'Listino Offerta'!$D$46+'Riepilogo Fabbisogni'!J4*'Listino Offerta'!$D$47+'Riepilogo Fabbisogni'!K4*'Listino Offerta'!$D$48+'Riepilogo Fabbisogni'!L4*'Listino Offerta'!$D$49+$M4*'Listino Offerta'!$D$50,0)</f>
        <v>0</v>
      </c>
    </row>
    <row r="5" spans="1:29" s="302" customFormat="1" ht="12" customHeight="1">
      <c r="A5" s="298">
        <v>3</v>
      </c>
      <c r="B5" s="299">
        <f>'Servizi di Trasporto Dati'!D7</f>
        <v>0</v>
      </c>
      <c r="C5" s="299">
        <f>'Servizi di Trasporto Dati'!E7</f>
        <v>0</v>
      </c>
      <c r="D5" s="299">
        <f>'Servizi di Trasporto Dati'!F7</f>
        <v>0</v>
      </c>
      <c r="E5" s="299">
        <f>IF(AND('Servizi di Trasporto Dati'!G7="Si",'Servizi di Trasporto Dati'!H7&lt;&gt;"Si"),"Si","")</f>
      </c>
      <c r="F5" s="299">
        <f>IF(AND('Servizi di Trasporto Dati'!G7&lt;&gt;"Si",'Servizi di Trasporto Dati'!H7="Si"),"Si","")</f>
      </c>
      <c r="G5" s="299">
        <f>IF(AND('Servizi di Trasporto Dati'!G7="Si",'Servizi di Trasporto Dati'!H7="Si"),"Si","")</f>
      </c>
      <c r="H5" s="299">
        <f>'Servizi di Trasporto Dati'!I7</f>
        <v>0</v>
      </c>
      <c r="I5" s="299">
        <f>'Servizi di Trasporto Dati'!J7</f>
        <v>0</v>
      </c>
      <c r="J5" s="299">
        <f>'Servizi di Trasporto Dati'!K7</f>
        <v>0</v>
      </c>
      <c r="K5" s="299">
        <f>'Servizi di Trasporto Dati'!L7</f>
        <v>0</v>
      </c>
      <c r="L5" s="299">
        <f>'Servizi di Trasporto Dati'!M7</f>
        <v>0</v>
      </c>
      <c r="M5" s="300">
        <f>'Servizi di Trasporto Dati'!N7</f>
        <v>0</v>
      </c>
      <c r="N5" s="301">
        <f>IF($B5&lt;&gt;0,VLOOKUP($B5,Listini!$A$2:$AD$40,3,FALSE)*(1+IF($E5="Si",(Listini!$E$43-100)/100,0)+IF($G5="Si",(Listini!$E$45-100)/100,0)),0)</f>
        <v>0</v>
      </c>
      <c r="O5" s="301">
        <f>IF($B5&lt;&gt;0,(VLOOKUP($B5,Listini!$A$2:$AD$40,4,FALSE)+IF($C5="Si",Listini!$D$41,0)+IF($D5="Si",Listini!$D$42,0)+IF($H5&lt;&gt;0,VLOOKUP($H5,Listini!$A$51:$AD$54,4,FALSE),0))*(1+IF($E5="Si",(Listini!$F$43-100)/100,0)+IF($F5="Si",(Listini!$F$44-100)/100,0)+IF($G5="Si",(Listini!$F$45-100)/100,0))+$I5*Listini!$D$46+'Riepilogo Fabbisogni'!J5*Listini!$D$47+'Riepilogo Fabbisogni'!K5*Listini!$D$48+'Riepilogo Fabbisogni'!L5*Listini!$D$49+$M5*Listini!$D$50,0)</f>
        <v>0</v>
      </c>
      <c r="P5" s="301">
        <f>IF($B5&lt;&gt;0,VLOOKUP($B5,Listini!$A$2:$AD$40,7,FALSE)*(1+IF($E5="Si",(Listini!$I$43-100)/100,0)+IF($G5="Si",(Listini!$I$45-100)/100,0)),0)</f>
        <v>0</v>
      </c>
      <c r="Q5" s="301">
        <f>IF($B5&lt;&gt;0,(VLOOKUP($B5,Listini!$A$2:$AD$40,8,FALSE)+IF($C5="Si",Listini!$H$41,0)+IF($D5="Si",Listini!$H$42,0)+IF($H5&lt;&gt;0,VLOOKUP($H5,Listini!$A$51:$AD$54,8,FALSE),0))*(1+IF($E5="Si",(Listini!$J$43-100)/100,0)+IF($F5="Si",(Listini!$J$44-100)/100,0)+IF($G5="Si",(Listini!$J$45-100)/100,0))+$I5*Listini!$H$46+'Riepilogo Fabbisogni'!J5*Listini!$H$47+'Riepilogo Fabbisogni'!K5*Listini!$H$48+'Riepilogo Fabbisogni'!L5*Listini!$H$49+$M5*Listini!$H$50,0)</f>
        <v>0</v>
      </c>
      <c r="R5" s="301">
        <f>IF($B5&lt;&gt;0,VLOOKUP($B5,Listini!$A$2:$AD$40,11,FALSE)*(1+IF($E5="Si",(Listini!$M$43-100)/100,0)+IF($G5="Si",(Listini!$M$45-100)/100,0)),0)</f>
        <v>0</v>
      </c>
      <c r="S5" s="301">
        <f>IF($B5&lt;&gt;0,(VLOOKUP($B5,Listini!$A$2:$AD$40,12,FALSE)+IF($C5="Si",Listini!$L$41,0)+IF($D5="Si",Listini!$L$42,0)+IF($H5&lt;&gt;0,VLOOKUP($H5,Listini!$A$51:$AD$54,12,FALSE),0))*(1+IF($E5="Si",(Listini!$N$43-100)/100,0)+IF($F5="Si",(Listini!$N$44-100)/100,0)+IF($G5="Si",(Listini!$N$45-100)/100,0))+$I5*Listini!$L$46+'Riepilogo Fabbisogni'!J5*Listini!$L$47+'Riepilogo Fabbisogni'!K5*Listini!$L$48+'Riepilogo Fabbisogni'!L5*Listini!$L$49+$M5*Listini!$L$50,0)</f>
        <v>0</v>
      </c>
      <c r="T5" s="302">
        <f>IF($B5&lt;&gt;0,VLOOKUP($B5,Listini!$A$2:$AD$40,15,FALSE)*(1+IF($E5="Si",(Listini!$Q$43-100)/100,0)+IF($G5="Si",(Listini!$Q$45-100)/100,0)),0)</f>
        <v>0</v>
      </c>
      <c r="U5" s="302">
        <f>IF($B5&lt;&gt;0,(VLOOKUP($B5,Listini!$A$2:$AD$40,16,FALSE)+IF($C5="Si",Listini!$P$41,0)+IF($D5="Si",Listini!$P$42,0)+IF($H5&lt;&gt;0,VLOOKUP($H5,Listini!$A$51:$AD$54,16,FALSE),0))*(1+IF($E5="Si",(Listini!$R$43-100)/100,0)+IF($F5="Si",(Listini!$R$44-100)/100,0)+IF($G5="Si",(Listini!$R$45-100)/100,0))+$I5*Listini!$P$46+'Riepilogo Fabbisogni'!J5*Listini!$P$47+'Riepilogo Fabbisogni'!K5*Listini!$P$48+'Riepilogo Fabbisogni'!L5*Listini!$P$49+$M5*Listini!$P$50,0)</f>
        <v>0</v>
      </c>
      <c r="V5" s="302">
        <f>IF($B5&lt;&gt;0,VLOOKUP($B5,Listini!$A$2:$AD$40,19,FALSE)*(1+IF($E5="Si",(Listini!$U$43-100)/100,0)+IF($G5="Si",(Listini!$U$45-100)/100,0)),0)</f>
        <v>0</v>
      </c>
      <c r="W5" s="302">
        <f>IF($B5&lt;&gt;0,(VLOOKUP($B5,Listini!$A$2:$AD$40,20,FALSE)+IF($C5="Si",Listini!$T$41,0)+IF($D5="Si",Listini!$T$42,0)+IF($H5&lt;&gt;0,VLOOKUP($H5,Listini!$A$51:$AD$54,20,FALSE),0))*(1+IF($E5="Si",(Listini!$V$43-100)/100,0)+IF($F5="Si",(Listini!$V$44-100)/100,0)+IF($G5="Si",(Listini!$V$45-100)/100,0))+$I5*Listini!$T$46+'Riepilogo Fabbisogni'!J5*Listini!$T$47+'Riepilogo Fabbisogni'!K5*Listini!$T$48+'Riepilogo Fabbisogni'!L5*Listini!$T$49+$M5*Listini!$T$50,0)</f>
        <v>0</v>
      </c>
      <c r="X5" s="302">
        <f>IF($B5&lt;&gt;0,VLOOKUP($B5,Listini!$A$2:$AD$40,23,FALSE)*(1+IF($E5="Si",(Listini!$Y$43-100)/100,0)+IF($G5="Si",(Listini!$Y$45-100)/100,0)),0)</f>
        <v>0</v>
      </c>
      <c r="Y5" s="302">
        <f>IF($B5&lt;&gt;0,(VLOOKUP($B5,Listini!$A$2:$AD$40,24,FALSE)+IF($C5="Si",Listini!$X$41,0)+IF($D5="Si",Listini!$X$42,0)+IF($H5&lt;&gt;0,VLOOKUP($H5,Listini!$A$51:$AD$54,24,FALSE),0))*(1+IF($E5="Si",(Listini!$Z$43-100)/100,0)+IF($F5="Si",(Listini!$Z$44-100)/100,0)+IF($G5="Si",(Listini!$Z$45-100)/100,0))+$I5*Listini!$X$46+'Riepilogo Fabbisogni'!J5*Listini!$X$47+'Riepilogo Fabbisogni'!K5*Listini!$X$48+'Riepilogo Fabbisogni'!L5*Listini!$X$49+$M5*Listini!$X$50,0)</f>
        <v>0</v>
      </c>
      <c r="Z5" s="302">
        <f>IF($B5&lt;&gt;0,VLOOKUP($B5,Listini!$A$2:$AD$40,27,FALSE)*(1+IF($E5="Si",(Listini!$AC$43-100)/100,0)+IF($G5="Si",(Listini!$AC$45-100)/100,0)),0)</f>
        <v>0</v>
      </c>
      <c r="AA5" s="302">
        <f>IF($B5&lt;&gt;0,(VLOOKUP($B5,Listini!$A$2:$AD$40,28,FALSE)+IF($C5="Si",Listini!$AB$41,0)+IF($D5="Si",Listini!$AB$42,0)+IF($H5&lt;&gt;0,VLOOKUP($H5,Listini!$A$51:$AD$54,28,FALSE),0))*(1+IF($E5="Si",(Listini!$AD$43-100)/100,0)+IF($F5="Si",(Listini!$AD$44-100)/100,0)+IF($G5="Si",(Listini!$AD$45-100)/100,0))+$I5*Listini!$AB$46+'Riepilogo Fabbisogni'!J5*Listini!$AB$47+'Riepilogo Fabbisogni'!K5*Listini!$AB$48+'Riepilogo Fabbisogni'!L5*Listini!$AB$49+$M5*Listini!$AB$50,0)</f>
        <v>0</v>
      </c>
      <c r="AB5" s="302">
        <f>IF($B5&lt;&gt;0,VLOOKUP($B5,'Listino Offerta'!$A$3:$F$40,3,FALSE)*(1+IF($E5="Si",('Listino Offerta'!$E$43-100)/100,0)+IF($G5="Si",('Listino Offerta'!$E$45-100)/100,0)),0)</f>
        <v>0</v>
      </c>
      <c r="AC5" s="302">
        <f>IF($B5&lt;&gt;0,(VLOOKUP($B5,'Listino Offerta'!$A$2:$AD$40,4,FALSE)+IF($C5="Si",'Listino Offerta'!$D$41,0)+IF($D5="Si",'Listino Offerta'!$D$42,0)+IF($H5&lt;&gt;0,VLOOKUP($H5,'Listino Offerta'!$A$51:$AD$54,4,FALSE),0))*(1+IF($E5="Si",('Listino Offerta'!$F$43-100)/100,0)+IF($F5="Si",('Listino Offerta'!$F$44-100)/100,0)+IF($G5="Si",('Listino Offerta'!$F$45-100)/100,0))+$I5*'Listino Offerta'!$D$46+'Riepilogo Fabbisogni'!J5*'Listino Offerta'!$D$47+'Riepilogo Fabbisogni'!K5*'Listino Offerta'!$D$48+'Riepilogo Fabbisogni'!L5*'Listino Offerta'!$D$49+$M5*'Listino Offerta'!$D$50,0)</f>
        <v>0</v>
      </c>
    </row>
    <row r="6" spans="1:29" s="302" customFormat="1" ht="12" customHeight="1">
      <c r="A6" s="298">
        <v>4</v>
      </c>
      <c r="B6" s="299">
        <f>'Servizi di Trasporto Dati'!D8</f>
        <v>0</v>
      </c>
      <c r="C6" s="299">
        <f>'Servizi di Trasporto Dati'!E8</f>
        <v>0</v>
      </c>
      <c r="D6" s="299">
        <f>'Servizi di Trasporto Dati'!F8</f>
        <v>0</v>
      </c>
      <c r="E6" s="299">
        <f>IF(AND('Servizi di Trasporto Dati'!G8="Si",'Servizi di Trasporto Dati'!H8&lt;&gt;"Si"),"Si","")</f>
      </c>
      <c r="F6" s="299">
        <f>IF(AND('Servizi di Trasporto Dati'!G8&lt;&gt;"Si",'Servizi di Trasporto Dati'!H8="Si"),"Si","")</f>
      </c>
      <c r="G6" s="299">
        <f>IF(AND('Servizi di Trasporto Dati'!G8="Si",'Servizi di Trasporto Dati'!H8="Si"),"Si","")</f>
      </c>
      <c r="H6" s="299">
        <f>'Servizi di Trasporto Dati'!I8</f>
        <v>0</v>
      </c>
      <c r="I6" s="299">
        <f>'Servizi di Trasporto Dati'!J8</f>
        <v>0</v>
      </c>
      <c r="J6" s="299">
        <f>'Servizi di Trasporto Dati'!K8</f>
        <v>0</v>
      </c>
      <c r="K6" s="299">
        <f>'Servizi di Trasporto Dati'!L8</f>
        <v>0</v>
      </c>
      <c r="L6" s="299">
        <f>'Servizi di Trasporto Dati'!M8</f>
        <v>0</v>
      </c>
      <c r="M6" s="300">
        <f>'Servizi di Trasporto Dati'!N8</f>
        <v>0</v>
      </c>
      <c r="N6" s="301">
        <f>IF($B6&lt;&gt;0,VLOOKUP($B6,Listini!$A$2:$AD$40,3,FALSE)*(1+IF($E6="Si",(Listini!$E$43-100)/100,0)+IF($G6="Si",(Listini!$E$45-100)/100,0)),0)</f>
        <v>0</v>
      </c>
      <c r="O6" s="301">
        <f>IF($B6&lt;&gt;0,(VLOOKUP($B6,Listini!$A$2:$AD$40,4,FALSE)+IF($C6="Si",Listini!$D$41,0)+IF($D6="Si",Listini!$D$42,0)+IF($H6&lt;&gt;0,VLOOKUP($H6,Listini!$A$51:$AD$54,4,FALSE),0))*(1+IF($E6="Si",(Listini!$F$43-100)/100,0)+IF($F6="Si",(Listini!$F$44-100)/100,0)+IF($G6="Si",(Listini!$F$45-100)/100,0))+$I6*Listini!$D$46+'Riepilogo Fabbisogni'!J6*Listini!$D$47+'Riepilogo Fabbisogni'!K6*Listini!$D$48+'Riepilogo Fabbisogni'!L6*Listini!$D$49+$M6*Listini!$D$50,0)</f>
        <v>0</v>
      </c>
      <c r="P6" s="301">
        <f>IF($B6&lt;&gt;0,VLOOKUP($B6,Listini!$A$2:$AD$40,7,FALSE)*(1+IF($E6="Si",(Listini!$I$43-100)/100,0)+IF($G6="Si",(Listini!$I$45-100)/100,0)),0)</f>
        <v>0</v>
      </c>
      <c r="Q6" s="301">
        <f>IF($B6&lt;&gt;0,(VLOOKUP($B6,Listini!$A$2:$AD$40,8,FALSE)+IF($C6="Si",Listini!$H$41,0)+IF($D6="Si",Listini!$H$42,0)+IF($H6&lt;&gt;0,VLOOKUP($H6,Listini!$A$51:$AD$54,8,FALSE),0))*(1+IF($E6="Si",(Listini!$J$43-100)/100,0)+IF($F6="Si",(Listini!$J$44-100)/100,0)+IF($G6="Si",(Listini!$J$45-100)/100,0))+$I6*Listini!$H$46+'Riepilogo Fabbisogni'!J6*Listini!$H$47+'Riepilogo Fabbisogni'!K6*Listini!$H$48+'Riepilogo Fabbisogni'!L6*Listini!$H$49+$M6*Listini!$H$50,0)</f>
        <v>0</v>
      </c>
      <c r="R6" s="301">
        <f>IF($B6&lt;&gt;0,VLOOKUP($B6,Listini!$A$2:$AD$40,11,FALSE)*(1+IF($E6="Si",(Listini!$M$43-100)/100,0)+IF($G6="Si",(Listini!$M$45-100)/100,0)),0)</f>
        <v>0</v>
      </c>
      <c r="S6" s="301">
        <f>IF($B6&lt;&gt;0,(VLOOKUP($B6,Listini!$A$2:$AD$40,12,FALSE)+IF($C6="Si",Listini!$L$41,0)+IF($D6="Si",Listini!$L$42,0)+IF($H6&lt;&gt;0,VLOOKUP($H6,Listini!$A$51:$AD$54,12,FALSE),0))*(1+IF($E6="Si",(Listini!$N$43-100)/100,0)+IF($F6="Si",(Listini!$N$44-100)/100,0)+IF($G6="Si",(Listini!$N$45-100)/100,0))+$I6*Listini!$L$46+'Riepilogo Fabbisogni'!J6*Listini!$L$47+'Riepilogo Fabbisogni'!K6*Listini!$L$48+'Riepilogo Fabbisogni'!L6*Listini!$L$49+$M6*Listini!$L$50,0)</f>
        <v>0</v>
      </c>
      <c r="T6" s="302">
        <f>IF($B6&lt;&gt;0,VLOOKUP($B6,Listini!$A$2:$AD$40,15,FALSE)*(1+IF($E6="Si",(Listini!$Q$43-100)/100,0)+IF($G6="Si",(Listini!$Q$45-100)/100,0)),0)</f>
        <v>0</v>
      </c>
      <c r="U6" s="302">
        <f>IF($B6&lt;&gt;0,(VLOOKUP($B6,Listini!$A$2:$AD$40,16,FALSE)+IF($C6="Si",Listini!$P$41,0)+IF($D6="Si",Listini!$P$42,0)+IF($H6&lt;&gt;0,VLOOKUP($H6,Listini!$A$51:$AD$54,16,FALSE),0))*(1+IF($E6="Si",(Listini!$R$43-100)/100,0)+IF($F6="Si",(Listini!$R$44-100)/100,0)+IF($G6="Si",(Listini!$R$45-100)/100,0))+$I6*Listini!$P$46+'Riepilogo Fabbisogni'!J6*Listini!$P$47+'Riepilogo Fabbisogni'!K6*Listini!$P$48+'Riepilogo Fabbisogni'!L6*Listini!$P$49+$M6*Listini!$P$50,0)</f>
        <v>0</v>
      </c>
      <c r="V6" s="302">
        <f>IF($B6&lt;&gt;0,VLOOKUP($B6,Listini!$A$2:$AD$40,19,FALSE)*(1+IF($E6="Si",(Listini!$U$43-100)/100,0)+IF($G6="Si",(Listini!$U$45-100)/100,0)),0)</f>
        <v>0</v>
      </c>
      <c r="W6" s="302">
        <f>IF($B6&lt;&gt;0,(VLOOKUP($B6,Listini!$A$2:$AD$40,20,FALSE)+IF($C6="Si",Listini!$T$41,0)+IF($D6="Si",Listini!$T$42,0)+IF($H6&lt;&gt;0,VLOOKUP($H6,Listini!$A$51:$AD$54,20,FALSE),0))*(1+IF($E6="Si",(Listini!$V$43-100)/100,0)+IF($F6="Si",(Listini!$V$44-100)/100,0)+IF($G6="Si",(Listini!$V$45-100)/100,0))+$I6*Listini!$T$46+'Riepilogo Fabbisogni'!J6*Listini!$T$47+'Riepilogo Fabbisogni'!K6*Listini!$T$48+'Riepilogo Fabbisogni'!L6*Listini!$T$49+$M6*Listini!$T$50,0)</f>
        <v>0</v>
      </c>
      <c r="X6" s="302">
        <f>IF($B6&lt;&gt;0,VLOOKUP($B6,Listini!$A$2:$AD$40,23,FALSE)*(1+IF($E6="Si",(Listini!$Y$43-100)/100,0)+IF($G6="Si",(Listini!$Y$45-100)/100,0)),0)</f>
        <v>0</v>
      </c>
      <c r="Y6" s="302">
        <f>IF($B6&lt;&gt;0,(VLOOKUP($B6,Listini!$A$2:$AD$40,24,FALSE)+IF($C6="Si",Listini!$X$41,0)+IF($D6="Si",Listini!$X$42,0)+IF($H6&lt;&gt;0,VLOOKUP($H6,Listini!$A$51:$AD$54,24,FALSE),0))*(1+IF($E6="Si",(Listini!$Z$43-100)/100,0)+IF($F6="Si",(Listini!$Z$44-100)/100,0)+IF($G6="Si",(Listini!$Z$45-100)/100,0))+$I6*Listini!$X$46+'Riepilogo Fabbisogni'!J6*Listini!$X$47+'Riepilogo Fabbisogni'!K6*Listini!$X$48+'Riepilogo Fabbisogni'!L6*Listini!$X$49+$M6*Listini!$X$50,0)</f>
        <v>0</v>
      </c>
      <c r="Z6" s="302">
        <f>IF($B6&lt;&gt;0,VLOOKUP($B6,Listini!$A$2:$AD$40,27,FALSE)*(1+IF($E6="Si",(Listini!$AC$43-100)/100,0)+IF($G6="Si",(Listini!$AC$45-100)/100,0)),0)</f>
        <v>0</v>
      </c>
      <c r="AA6" s="302">
        <f>IF($B6&lt;&gt;0,(VLOOKUP($B6,Listini!$A$2:$AD$40,28,FALSE)+IF($C6="Si",Listini!$AB$41,0)+IF($D6="Si",Listini!$AB$42,0)+IF($H6&lt;&gt;0,VLOOKUP($H6,Listini!$A$51:$AD$54,28,FALSE),0))*(1+IF($E6="Si",(Listini!$AD$43-100)/100,0)+IF($F6="Si",(Listini!$AD$44-100)/100,0)+IF($G6="Si",(Listini!$AD$45-100)/100,0))+$I6*Listini!$AB$46+'Riepilogo Fabbisogni'!J6*Listini!$AB$47+'Riepilogo Fabbisogni'!K6*Listini!$AB$48+'Riepilogo Fabbisogni'!L6*Listini!$AB$49+$M6*Listini!$AB$50,0)</f>
        <v>0</v>
      </c>
      <c r="AB6" s="302">
        <f>IF($B6&lt;&gt;0,VLOOKUP($B6,'Listino Offerta'!$A$3:$F$40,3,FALSE)*(1+IF($E6="Si",('Listino Offerta'!$E$43-100)/100,0)+IF($G6="Si",('Listino Offerta'!$E$45-100)/100,0)),0)</f>
        <v>0</v>
      </c>
      <c r="AC6" s="302">
        <f>IF($B6&lt;&gt;0,(VLOOKUP($B6,'Listino Offerta'!$A$2:$AD$40,4,FALSE)+IF($C6="Si",'Listino Offerta'!$D$41,0)+IF($D6="Si",'Listino Offerta'!$D$42,0)+IF($H6&lt;&gt;0,VLOOKUP($H6,'Listino Offerta'!$A$51:$AD$54,4,FALSE),0))*(1+IF($E6="Si",('Listino Offerta'!$F$43-100)/100,0)+IF($F6="Si",('Listino Offerta'!$F$44-100)/100,0)+IF($G6="Si",('Listino Offerta'!$F$45-100)/100,0))+$I6*'Listino Offerta'!$D$46+'Riepilogo Fabbisogni'!J6*'Listino Offerta'!$D$47+'Riepilogo Fabbisogni'!K6*'Listino Offerta'!$D$48+'Riepilogo Fabbisogni'!L6*'Listino Offerta'!$D$49+$M6*'Listino Offerta'!$D$50,0)</f>
        <v>0</v>
      </c>
    </row>
    <row r="7" spans="1:29" s="302" customFormat="1" ht="12" customHeight="1">
      <c r="A7" s="298">
        <v>5</v>
      </c>
      <c r="B7" s="299">
        <f>'Servizi di Trasporto Dati'!D9</f>
        <v>0</v>
      </c>
      <c r="C7" s="299">
        <f>'Servizi di Trasporto Dati'!E9</f>
        <v>0</v>
      </c>
      <c r="D7" s="299">
        <f>'Servizi di Trasporto Dati'!F9</f>
        <v>0</v>
      </c>
      <c r="E7" s="299">
        <f>IF(AND('Servizi di Trasporto Dati'!G9="Si",'Servizi di Trasporto Dati'!H9&lt;&gt;"Si"),"Si","")</f>
      </c>
      <c r="F7" s="299">
        <f>IF(AND('Servizi di Trasporto Dati'!G9&lt;&gt;"Si",'Servizi di Trasporto Dati'!H9="Si"),"Si","")</f>
      </c>
      <c r="G7" s="299">
        <f>IF(AND('Servizi di Trasporto Dati'!G9="Si",'Servizi di Trasporto Dati'!H9="Si"),"Si","")</f>
      </c>
      <c r="H7" s="299">
        <f>'Servizi di Trasporto Dati'!I9</f>
        <v>0</v>
      </c>
      <c r="I7" s="299">
        <f>'Servizi di Trasporto Dati'!J9</f>
        <v>0</v>
      </c>
      <c r="J7" s="299">
        <f>'Servizi di Trasporto Dati'!K9</f>
        <v>0</v>
      </c>
      <c r="K7" s="299">
        <f>'Servizi di Trasporto Dati'!L9</f>
        <v>0</v>
      </c>
      <c r="L7" s="299">
        <f>'Servizi di Trasporto Dati'!M9</f>
        <v>0</v>
      </c>
      <c r="M7" s="300">
        <f>'Servizi di Trasporto Dati'!N9</f>
        <v>0</v>
      </c>
      <c r="N7" s="301">
        <f>IF($B7&lt;&gt;0,VLOOKUP($B7,Listini!$A$2:$AD$40,3,FALSE)*(1+IF($E7="Si",(Listini!$E$43-100)/100,0)+IF($G7="Si",(Listini!$E$45-100)/100,0)),0)</f>
        <v>0</v>
      </c>
      <c r="O7" s="301">
        <f>IF($B7&lt;&gt;0,(VLOOKUP($B7,Listini!$A$2:$AD$40,4,FALSE)+IF($C7="Si",Listini!$D$41,0)+IF($D7="Si",Listini!$D$42,0)+IF($H7&lt;&gt;0,VLOOKUP($H7,Listini!$A$51:$AD$54,4,FALSE),0))*(1+IF($E7="Si",(Listini!$F$43-100)/100,0)+IF($F7="Si",(Listini!$F$44-100)/100,0)+IF($G7="Si",(Listini!$F$45-100)/100,0))+$I7*Listini!$D$46+'Riepilogo Fabbisogni'!J7*Listini!$D$47+'Riepilogo Fabbisogni'!K7*Listini!$D$48+'Riepilogo Fabbisogni'!L7*Listini!$D$49+$M7*Listini!$D$50,0)</f>
        <v>0</v>
      </c>
      <c r="P7" s="301">
        <f>IF($B7&lt;&gt;0,VLOOKUP($B7,Listini!$A$2:$AD$40,7,FALSE)*(1+IF($E7="Si",(Listini!$I$43-100)/100,0)+IF($G7="Si",(Listini!$I$45-100)/100,0)),0)</f>
        <v>0</v>
      </c>
      <c r="Q7" s="301">
        <f>IF($B7&lt;&gt;0,(VLOOKUP($B7,Listini!$A$2:$AD$40,8,FALSE)+IF($C7="Si",Listini!$H$41,0)+IF($D7="Si",Listini!$H$42,0)+IF($H7&lt;&gt;0,VLOOKUP($H7,Listini!$A$51:$AD$54,8,FALSE),0))*(1+IF($E7="Si",(Listini!$J$43-100)/100,0)+IF($F7="Si",(Listini!$J$44-100)/100,0)+IF($G7="Si",(Listini!$J$45-100)/100,0))+$I7*Listini!$H$46+'Riepilogo Fabbisogni'!J7*Listini!$H$47+'Riepilogo Fabbisogni'!K7*Listini!$H$48+'Riepilogo Fabbisogni'!L7*Listini!$H$49+$M7*Listini!$H$50,0)</f>
        <v>0</v>
      </c>
      <c r="R7" s="301">
        <f>IF($B7&lt;&gt;0,VLOOKUP($B7,Listini!$A$2:$AD$40,11,FALSE)*(1+IF($E7="Si",(Listini!$M$43-100)/100,0)+IF($G7="Si",(Listini!$M$45-100)/100,0)),0)</f>
        <v>0</v>
      </c>
      <c r="S7" s="301">
        <f>IF($B7&lt;&gt;0,(VLOOKUP($B7,Listini!$A$2:$AD$40,12,FALSE)+IF($C7="Si",Listini!$L$41,0)+IF($D7="Si",Listini!$L$42,0)+IF($H7&lt;&gt;0,VLOOKUP($H7,Listini!$A$51:$AD$54,12,FALSE),0))*(1+IF($E7="Si",(Listini!$N$43-100)/100,0)+IF($F7="Si",(Listini!$N$44-100)/100,0)+IF($G7="Si",(Listini!$N$45-100)/100,0))+$I7*Listini!$L$46+'Riepilogo Fabbisogni'!J7*Listini!$L$47+'Riepilogo Fabbisogni'!K7*Listini!$L$48+'Riepilogo Fabbisogni'!L7*Listini!$L$49+$M7*Listini!$L$50,0)</f>
        <v>0</v>
      </c>
      <c r="T7" s="302">
        <f>IF($B7&lt;&gt;0,VLOOKUP($B7,Listini!$A$2:$AD$40,15,FALSE)*(1+IF($E7="Si",(Listini!$Q$43-100)/100,0)+IF($G7="Si",(Listini!$Q$45-100)/100,0)),0)</f>
        <v>0</v>
      </c>
      <c r="U7" s="302">
        <f>IF($B7&lt;&gt;0,(VLOOKUP($B7,Listini!$A$2:$AD$40,16,FALSE)+IF($C7="Si",Listini!$P$41,0)+IF($D7="Si",Listini!$P$42,0)+IF($H7&lt;&gt;0,VLOOKUP($H7,Listini!$A$51:$AD$54,16,FALSE),0))*(1+IF($E7="Si",(Listini!$R$43-100)/100,0)+IF($F7="Si",(Listini!$R$44-100)/100,0)+IF($G7="Si",(Listini!$R$45-100)/100,0))+$I7*Listini!$P$46+'Riepilogo Fabbisogni'!J7*Listini!$P$47+'Riepilogo Fabbisogni'!K7*Listini!$P$48+'Riepilogo Fabbisogni'!L7*Listini!$P$49+$M7*Listini!$P$50,0)</f>
        <v>0</v>
      </c>
      <c r="V7" s="302">
        <f>IF($B7&lt;&gt;0,VLOOKUP($B7,Listini!$A$2:$AD$40,19,FALSE)*(1+IF($E7="Si",(Listini!$U$43-100)/100,0)+IF($G7="Si",(Listini!$U$45-100)/100,0)),0)</f>
        <v>0</v>
      </c>
      <c r="W7" s="302">
        <f>IF($B7&lt;&gt;0,(VLOOKUP($B7,Listini!$A$2:$AD$40,20,FALSE)+IF($C7="Si",Listini!$T$41,0)+IF($D7="Si",Listini!$T$42,0)+IF($H7&lt;&gt;0,VLOOKUP($H7,Listini!$A$51:$AD$54,20,FALSE),0))*(1+IF($E7="Si",(Listini!$V$43-100)/100,0)+IF($F7="Si",(Listini!$V$44-100)/100,0)+IF($G7="Si",(Listini!$V$45-100)/100,0))+$I7*Listini!$T$46+'Riepilogo Fabbisogni'!J7*Listini!$T$47+'Riepilogo Fabbisogni'!K7*Listini!$T$48+'Riepilogo Fabbisogni'!L7*Listini!$T$49+$M7*Listini!$T$50,0)</f>
        <v>0</v>
      </c>
      <c r="X7" s="302">
        <f>IF($B7&lt;&gt;0,VLOOKUP($B7,Listini!$A$2:$AD$40,23,FALSE)*(1+IF($E7="Si",(Listini!$Y$43-100)/100,0)+IF($G7="Si",(Listini!$Y$45-100)/100,0)),0)</f>
        <v>0</v>
      </c>
      <c r="Y7" s="302">
        <f>IF($B7&lt;&gt;0,(VLOOKUP($B7,Listini!$A$2:$AD$40,24,FALSE)+IF($C7="Si",Listini!$X$41,0)+IF($D7="Si",Listini!$X$42,0)+IF($H7&lt;&gt;0,VLOOKUP($H7,Listini!$A$51:$AD$54,24,FALSE),0))*(1+IF($E7="Si",(Listini!$Z$43-100)/100,0)+IF($F7="Si",(Listini!$Z$44-100)/100,0)+IF($G7="Si",(Listini!$Z$45-100)/100,0))+$I7*Listini!$X$46+'Riepilogo Fabbisogni'!J7*Listini!$X$47+'Riepilogo Fabbisogni'!K7*Listini!$X$48+'Riepilogo Fabbisogni'!L7*Listini!$X$49+$M7*Listini!$X$50,0)</f>
        <v>0</v>
      </c>
      <c r="Z7" s="302">
        <f>IF($B7&lt;&gt;0,VLOOKUP($B7,Listini!$A$2:$AD$40,27,FALSE)*(1+IF($E7="Si",(Listini!$AC$43-100)/100,0)+IF($G7="Si",(Listini!$AC$45-100)/100,0)),0)</f>
        <v>0</v>
      </c>
      <c r="AA7" s="302">
        <f>IF($B7&lt;&gt;0,(VLOOKUP($B7,Listini!$A$2:$AD$40,28,FALSE)+IF($C7="Si",Listini!$AB$41,0)+IF($D7="Si",Listini!$AB$42,0)+IF($H7&lt;&gt;0,VLOOKUP($H7,Listini!$A$51:$AD$54,28,FALSE),0))*(1+IF($E7="Si",(Listini!$AD$43-100)/100,0)+IF($F7="Si",(Listini!$AD$44-100)/100,0)+IF($G7="Si",(Listini!$AD$45-100)/100,0))+$I7*Listini!$AB$46+'Riepilogo Fabbisogni'!J7*Listini!$AB$47+'Riepilogo Fabbisogni'!K7*Listini!$AB$48+'Riepilogo Fabbisogni'!L7*Listini!$AB$49+$M7*Listini!$AB$50,0)</f>
        <v>0</v>
      </c>
      <c r="AB7" s="302">
        <f>IF($B7&lt;&gt;0,VLOOKUP($B7,'Listino Offerta'!$A$3:$F$40,3,FALSE)*(1+IF($E7="Si",('Listino Offerta'!$E$43-100)/100,0)+IF($G7="Si",('Listino Offerta'!$E$45-100)/100,0)),0)</f>
        <v>0</v>
      </c>
      <c r="AC7" s="302">
        <f>IF($B7&lt;&gt;0,(VLOOKUP($B7,'Listino Offerta'!$A$2:$AD$40,4,FALSE)+IF($C7="Si",'Listino Offerta'!$D$41,0)+IF($D7="Si",'Listino Offerta'!$D$42,0)+IF($H7&lt;&gt;0,VLOOKUP($H7,'Listino Offerta'!$A$51:$AD$54,4,FALSE),0))*(1+IF($E7="Si",('Listino Offerta'!$F$43-100)/100,0)+IF($F7="Si",('Listino Offerta'!$F$44-100)/100,0)+IF($G7="Si",('Listino Offerta'!$F$45-100)/100,0))+$I7*'Listino Offerta'!$D$46+'Riepilogo Fabbisogni'!J7*'Listino Offerta'!$D$47+'Riepilogo Fabbisogni'!K7*'Listino Offerta'!$D$48+'Riepilogo Fabbisogni'!L7*'Listino Offerta'!$D$49+$M7*'Listino Offerta'!$D$50,0)</f>
        <v>0</v>
      </c>
    </row>
    <row r="8" spans="1:29" s="302" customFormat="1" ht="12" customHeight="1">
      <c r="A8" s="298">
        <v>6</v>
      </c>
      <c r="B8" s="299">
        <f>'Servizi di Trasporto Dati'!D10</f>
        <v>0</v>
      </c>
      <c r="C8" s="299">
        <f>'Servizi di Trasporto Dati'!E10</f>
        <v>0</v>
      </c>
      <c r="D8" s="299">
        <f>'Servizi di Trasporto Dati'!F10</f>
        <v>0</v>
      </c>
      <c r="E8" s="299">
        <f>IF(AND('Servizi di Trasporto Dati'!G10="Si",'Servizi di Trasporto Dati'!H10&lt;&gt;"Si"),"Si","")</f>
      </c>
      <c r="F8" s="299">
        <f>IF(AND('Servizi di Trasporto Dati'!G10&lt;&gt;"Si",'Servizi di Trasporto Dati'!H10="Si"),"Si","")</f>
      </c>
      <c r="G8" s="299">
        <f>IF(AND('Servizi di Trasporto Dati'!G10="Si",'Servizi di Trasporto Dati'!H10="Si"),"Si","")</f>
      </c>
      <c r="H8" s="299">
        <f>'Servizi di Trasporto Dati'!I10</f>
        <v>0</v>
      </c>
      <c r="I8" s="299">
        <f>'Servizi di Trasporto Dati'!J10</f>
        <v>0</v>
      </c>
      <c r="J8" s="299">
        <f>'Servizi di Trasporto Dati'!K10</f>
        <v>0</v>
      </c>
      <c r="K8" s="299">
        <f>'Servizi di Trasporto Dati'!L10</f>
        <v>0</v>
      </c>
      <c r="L8" s="299">
        <f>'Servizi di Trasporto Dati'!M10</f>
        <v>0</v>
      </c>
      <c r="M8" s="300">
        <f>'Servizi di Trasporto Dati'!N10</f>
        <v>0</v>
      </c>
      <c r="N8" s="301">
        <f>IF($B8&lt;&gt;0,VLOOKUP($B8,Listini!$A$2:$AD$40,3,FALSE)*(1+IF($E8="Si",(Listini!$E$43-100)/100,0)+IF($G8="Si",(Listini!$E$45-100)/100,0)),0)</f>
        <v>0</v>
      </c>
      <c r="O8" s="301">
        <f>IF($B8&lt;&gt;0,(VLOOKUP($B8,Listini!$A$2:$AD$40,4,FALSE)+IF($C8="Si",Listini!$D$41,0)+IF($D8="Si",Listini!$D$42,0)+IF($H8&lt;&gt;0,VLOOKUP($H8,Listini!$A$51:$AD$54,4,FALSE),0))*(1+IF($E8="Si",(Listini!$F$43-100)/100,0)+IF($F8="Si",(Listini!$F$44-100)/100,0)+IF($G8="Si",(Listini!$F$45-100)/100,0))+$I8*Listini!$D$46+'Riepilogo Fabbisogni'!J8*Listini!$D$47+'Riepilogo Fabbisogni'!K8*Listini!$D$48+'Riepilogo Fabbisogni'!L8*Listini!$D$49+$M8*Listini!$D$50,0)</f>
        <v>0</v>
      </c>
      <c r="P8" s="301">
        <f>IF($B8&lt;&gt;0,VLOOKUP($B8,Listini!$A$2:$AD$40,7,FALSE)*(1+IF($E8="Si",(Listini!$I$43-100)/100,0)+IF($G8="Si",(Listini!$I$45-100)/100,0)),0)</f>
        <v>0</v>
      </c>
      <c r="Q8" s="301">
        <f>IF($B8&lt;&gt;0,(VLOOKUP($B8,Listini!$A$2:$AD$40,8,FALSE)+IF($C8="Si",Listini!$H$41,0)+IF($D8="Si",Listini!$H$42,0)+IF($H8&lt;&gt;0,VLOOKUP($H8,Listini!$A$51:$AD$54,8,FALSE),0))*(1+IF($E8="Si",(Listini!$J$43-100)/100,0)+IF($F8="Si",(Listini!$J$44-100)/100,0)+IF($G8="Si",(Listini!$J$45-100)/100,0))+$I8*Listini!$H$46+'Riepilogo Fabbisogni'!J8*Listini!$H$47+'Riepilogo Fabbisogni'!K8*Listini!$H$48+'Riepilogo Fabbisogni'!L8*Listini!$H$49+$M8*Listini!$H$50,0)</f>
        <v>0</v>
      </c>
      <c r="R8" s="301">
        <f>IF($B8&lt;&gt;0,VLOOKUP($B8,Listini!$A$2:$AD$40,11,FALSE)*(1+IF($E8="Si",(Listini!$M$43-100)/100,0)+IF($G8="Si",(Listini!$M$45-100)/100,0)),0)</f>
        <v>0</v>
      </c>
      <c r="S8" s="301">
        <f>IF($B8&lt;&gt;0,(VLOOKUP($B8,Listini!$A$2:$AD$40,12,FALSE)+IF($C8="Si",Listini!$L$41,0)+IF($D8="Si",Listini!$L$42,0)+IF($H8&lt;&gt;0,VLOOKUP($H8,Listini!$A$51:$AD$54,12,FALSE),0))*(1+IF($E8="Si",(Listini!$N$43-100)/100,0)+IF($F8="Si",(Listini!$N$44-100)/100,0)+IF($G8="Si",(Listini!$N$45-100)/100,0))+$I8*Listini!$L$46+'Riepilogo Fabbisogni'!J8*Listini!$L$47+'Riepilogo Fabbisogni'!K8*Listini!$L$48+'Riepilogo Fabbisogni'!L8*Listini!$L$49+$M8*Listini!$L$50,0)</f>
        <v>0</v>
      </c>
      <c r="T8" s="302">
        <f>IF($B8&lt;&gt;0,VLOOKUP($B8,Listini!$A$2:$AD$40,15,FALSE)*(1+IF($E8="Si",(Listini!$Q$43-100)/100,0)+IF($G8="Si",(Listini!$Q$45-100)/100,0)),0)</f>
        <v>0</v>
      </c>
      <c r="U8" s="302">
        <f>IF($B8&lt;&gt;0,(VLOOKUP($B8,Listini!$A$2:$AD$40,16,FALSE)+IF($C8="Si",Listini!$P$41,0)+IF($D8="Si",Listini!$P$42,0)+IF($H8&lt;&gt;0,VLOOKUP($H8,Listini!$A$51:$AD$54,16,FALSE),0))*(1+IF($E8="Si",(Listini!$R$43-100)/100,0)+IF($F8="Si",(Listini!$R$44-100)/100,0)+IF($G8="Si",(Listini!$R$45-100)/100,0))+$I8*Listini!$P$46+'Riepilogo Fabbisogni'!J8*Listini!$P$47+'Riepilogo Fabbisogni'!K8*Listini!$P$48+'Riepilogo Fabbisogni'!L8*Listini!$P$49+$M8*Listini!$P$50,0)</f>
        <v>0</v>
      </c>
      <c r="V8" s="302">
        <f>IF($B8&lt;&gt;0,VLOOKUP($B8,Listini!$A$2:$AD$40,19,FALSE)*(1+IF($E8="Si",(Listini!$U$43-100)/100,0)+IF($G8="Si",(Listini!$U$45-100)/100,0)),0)</f>
        <v>0</v>
      </c>
      <c r="W8" s="302">
        <f>IF($B8&lt;&gt;0,(VLOOKUP($B8,Listini!$A$2:$AD$40,20,FALSE)+IF($C8="Si",Listini!$T$41,0)+IF($D8="Si",Listini!$T$42,0)+IF($H8&lt;&gt;0,VLOOKUP($H8,Listini!$A$51:$AD$54,20,FALSE),0))*(1+IF($E8="Si",(Listini!$V$43-100)/100,0)+IF($F8="Si",(Listini!$V$44-100)/100,0)+IF($G8="Si",(Listini!$V$45-100)/100,0))+$I8*Listini!$T$46+'Riepilogo Fabbisogni'!J8*Listini!$T$47+'Riepilogo Fabbisogni'!K8*Listini!$T$48+'Riepilogo Fabbisogni'!L8*Listini!$T$49+$M8*Listini!$T$50,0)</f>
        <v>0</v>
      </c>
      <c r="X8" s="302">
        <f>IF($B8&lt;&gt;0,VLOOKUP($B8,Listini!$A$2:$AD$40,23,FALSE)*(1+IF($E8="Si",(Listini!$Y$43-100)/100,0)+IF($G8="Si",(Listini!$Y$45-100)/100,0)),0)</f>
        <v>0</v>
      </c>
      <c r="Y8" s="302">
        <f>IF($B8&lt;&gt;0,(VLOOKUP($B8,Listini!$A$2:$AD$40,24,FALSE)+IF($C8="Si",Listini!$X$41,0)+IF($D8="Si",Listini!$X$42,0)+IF($H8&lt;&gt;0,VLOOKUP($H8,Listini!$A$51:$AD$54,24,FALSE),0))*(1+IF($E8="Si",(Listini!$Z$43-100)/100,0)+IF($F8="Si",(Listini!$Z$44-100)/100,0)+IF($G8="Si",(Listini!$Z$45-100)/100,0))+$I8*Listini!$X$46+'Riepilogo Fabbisogni'!J8*Listini!$X$47+'Riepilogo Fabbisogni'!K8*Listini!$X$48+'Riepilogo Fabbisogni'!L8*Listini!$X$49+$M8*Listini!$X$50,0)</f>
        <v>0</v>
      </c>
      <c r="Z8" s="302">
        <f>IF($B8&lt;&gt;0,VLOOKUP($B8,Listini!$A$2:$AD$40,27,FALSE)*(1+IF($E8="Si",(Listini!$AC$43-100)/100,0)+IF($G8="Si",(Listini!$AC$45-100)/100,0)),0)</f>
        <v>0</v>
      </c>
      <c r="AA8" s="302">
        <f>IF($B8&lt;&gt;0,(VLOOKUP($B8,Listini!$A$2:$AD$40,28,FALSE)+IF($C8="Si",Listini!$AB$41,0)+IF($D8="Si",Listini!$AB$42,0)+IF($H8&lt;&gt;0,VLOOKUP($H8,Listini!$A$51:$AD$54,28,FALSE),0))*(1+IF($E8="Si",(Listini!$AD$43-100)/100,0)+IF($F8="Si",(Listini!$AD$44-100)/100,0)+IF($G8="Si",(Listini!$AD$45-100)/100,0))+$I8*Listini!$AB$46+'Riepilogo Fabbisogni'!J8*Listini!$AB$47+'Riepilogo Fabbisogni'!K8*Listini!$AB$48+'Riepilogo Fabbisogni'!L8*Listini!$AB$49+$M8*Listini!$AB$50,0)</f>
        <v>0</v>
      </c>
      <c r="AB8" s="302">
        <f>IF($B8&lt;&gt;0,VLOOKUP($B8,'Listino Offerta'!$A$3:$F$40,3,FALSE)*(1+IF($E8="Si",('Listino Offerta'!$E$43-100)/100,0)+IF($G8="Si",('Listino Offerta'!$E$45-100)/100,0)),0)</f>
        <v>0</v>
      </c>
      <c r="AC8" s="302">
        <f>IF($B8&lt;&gt;0,(VLOOKUP($B8,'Listino Offerta'!$A$2:$AD$40,4,FALSE)+IF($C8="Si",'Listino Offerta'!$D$41,0)+IF($D8="Si",'Listino Offerta'!$D$42,0)+IF($H8&lt;&gt;0,VLOOKUP($H8,'Listino Offerta'!$A$51:$AD$54,4,FALSE),0))*(1+IF($E8="Si",('Listino Offerta'!$F$43-100)/100,0)+IF($F8="Si",('Listino Offerta'!$F$44-100)/100,0)+IF($G8="Si",('Listino Offerta'!$F$45-100)/100,0))+$I8*'Listino Offerta'!$D$46+'Riepilogo Fabbisogni'!J8*'Listino Offerta'!$D$47+'Riepilogo Fabbisogni'!K8*'Listino Offerta'!$D$48+'Riepilogo Fabbisogni'!L8*'Listino Offerta'!$D$49+$M8*'Listino Offerta'!$D$50,0)</f>
        <v>0</v>
      </c>
    </row>
    <row r="9" spans="1:29" s="302" customFormat="1" ht="12" customHeight="1">
      <c r="A9" s="298">
        <v>7</v>
      </c>
      <c r="B9" s="299">
        <f>'Servizi di Trasporto Dati'!D11</f>
        <v>0</v>
      </c>
      <c r="C9" s="299">
        <f>'Servizi di Trasporto Dati'!E11</f>
        <v>0</v>
      </c>
      <c r="D9" s="299">
        <f>'Servizi di Trasporto Dati'!F11</f>
        <v>0</v>
      </c>
      <c r="E9" s="299">
        <f>IF(AND('Servizi di Trasporto Dati'!G11="Si",'Servizi di Trasporto Dati'!H11&lt;&gt;"Si"),"Si","")</f>
      </c>
      <c r="F9" s="299">
        <f>IF(AND('Servizi di Trasporto Dati'!G11&lt;&gt;"Si",'Servizi di Trasporto Dati'!H11="Si"),"Si","")</f>
      </c>
      <c r="G9" s="299">
        <f>IF(AND('Servizi di Trasporto Dati'!G11="Si",'Servizi di Trasporto Dati'!H11="Si"),"Si","")</f>
      </c>
      <c r="H9" s="299">
        <f>'Servizi di Trasporto Dati'!I11</f>
        <v>0</v>
      </c>
      <c r="I9" s="299">
        <f>'Servizi di Trasporto Dati'!J11</f>
        <v>0</v>
      </c>
      <c r="J9" s="299">
        <f>'Servizi di Trasporto Dati'!K11</f>
        <v>0</v>
      </c>
      <c r="K9" s="299">
        <f>'Servizi di Trasporto Dati'!L11</f>
        <v>0</v>
      </c>
      <c r="L9" s="299">
        <f>'Servizi di Trasporto Dati'!M11</f>
        <v>0</v>
      </c>
      <c r="M9" s="300">
        <f>'Servizi di Trasporto Dati'!N11</f>
        <v>0</v>
      </c>
      <c r="N9" s="301">
        <f>IF($B9&lt;&gt;0,VLOOKUP($B9,Listini!$A$2:$AD$40,3,FALSE)*(1+IF($E9="Si",(Listini!$E$43-100)/100,0)+IF($G9="Si",(Listini!$E$45-100)/100,0)),0)</f>
        <v>0</v>
      </c>
      <c r="O9" s="301">
        <f>IF($B9&lt;&gt;0,(VLOOKUP($B9,Listini!$A$2:$AD$40,4,FALSE)+IF($C9="Si",Listini!$D$41,0)+IF($D9="Si",Listini!$D$42,0)+IF($H9&lt;&gt;0,VLOOKUP($H9,Listini!$A$51:$AD$54,4,FALSE),0))*(1+IF($E9="Si",(Listini!$F$43-100)/100,0)+IF($F9="Si",(Listini!$F$44-100)/100,0)+IF($G9="Si",(Listini!$F$45-100)/100,0))+$I9*Listini!$D$46+'Riepilogo Fabbisogni'!J9*Listini!$D$47+'Riepilogo Fabbisogni'!K9*Listini!$D$48+'Riepilogo Fabbisogni'!L9*Listini!$D$49+$M9*Listini!$D$50,0)</f>
        <v>0</v>
      </c>
      <c r="P9" s="301">
        <f>IF($B9&lt;&gt;0,VLOOKUP($B9,Listini!$A$2:$AD$40,7,FALSE)*(1+IF($E9="Si",(Listini!$I$43-100)/100,0)+IF($G9="Si",(Listini!$I$45-100)/100,0)),0)</f>
        <v>0</v>
      </c>
      <c r="Q9" s="301">
        <f>IF($B9&lt;&gt;0,(VLOOKUP($B9,Listini!$A$2:$AD$40,8,FALSE)+IF($C9="Si",Listini!$H$41,0)+IF($D9="Si",Listini!$H$42,0)+IF($H9&lt;&gt;0,VLOOKUP($H9,Listini!$A$51:$AD$54,8,FALSE),0))*(1+IF($E9="Si",(Listini!$J$43-100)/100,0)+IF($F9="Si",(Listini!$J$44-100)/100,0)+IF($G9="Si",(Listini!$J$45-100)/100,0))+$I9*Listini!$H$46+'Riepilogo Fabbisogni'!J9*Listini!$H$47+'Riepilogo Fabbisogni'!K9*Listini!$H$48+'Riepilogo Fabbisogni'!L9*Listini!$H$49+$M9*Listini!$H$50,0)</f>
        <v>0</v>
      </c>
      <c r="R9" s="301">
        <f>IF($B9&lt;&gt;0,VLOOKUP($B9,Listini!$A$2:$AD$40,11,FALSE)*(1+IF($E9="Si",(Listini!$M$43-100)/100,0)+IF($G9="Si",(Listini!$M$45-100)/100,0)),0)</f>
        <v>0</v>
      </c>
      <c r="S9" s="301">
        <f>IF($B9&lt;&gt;0,(VLOOKUP($B9,Listini!$A$2:$AD$40,12,FALSE)+IF($C9="Si",Listini!$L$41,0)+IF($D9="Si",Listini!$L$42,0)+IF($H9&lt;&gt;0,VLOOKUP($H9,Listini!$A$51:$AD$54,12,FALSE),0))*(1+IF($E9="Si",(Listini!$N$43-100)/100,0)+IF($F9="Si",(Listini!$N$44-100)/100,0)+IF($G9="Si",(Listini!$N$45-100)/100,0))+$I9*Listini!$L$46+'Riepilogo Fabbisogni'!J9*Listini!$L$47+'Riepilogo Fabbisogni'!K9*Listini!$L$48+'Riepilogo Fabbisogni'!L9*Listini!$L$49+$M9*Listini!$L$50,0)</f>
        <v>0</v>
      </c>
      <c r="T9" s="302">
        <f>IF($B9&lt;&gt;0,VLOOKUP($B9,Listini!$A$2:$AD$40,15,FALSE)*(1+IF($E9="Si",(Listini!$Q$43-100)/100,0)+IF($G9="Si",(Listini!$Q$45-100)/100,0)),0)</f>
        <v>0</v>
      </c>
      <c r="U9" s="302">
        <f>IF($B9&lt;&gt;0,(VLOOKUP($B9,Listini!$A$2:$AD$40,16,FALSE)+IF($C9="Si",Listini!$P$41,0)+IF($D9="Si",Listini!$P$42,0)+IF($H9&lt;&gt;0,VLOOKUP($H9,Listini!$A$51:$AD$54,16,FALSE),0))*(1+IF($E9="Si",(Listini!$R$43-100)/100,0)+IF($F9="Si",(Listini!$R$44-100)/100,0)+IF($G9="Si",(Listini!$R$45-100)/100,0))+$I9*Listini!$P$46+'Riepilogo Fabbisogni'!J9*Listini!$P$47+'Riepilogo Fabbisogni'!K9*Listini!$P$48+'Riepilogo Fabbisogni'!L9*Listini!$P$49+$M9*Listini!$P$50,0)</f>
        <v>0</v>
      </c>
      <c r="V9" s="302">
        <f>IF($B9&lt;&gt;0,VLOOKUP($B9,Listini!$A$2:$AD$40,19,FALSE)*(1+IF($E9="Si",(Listini!$U$43-100)/100,0)+IF($G9="Si",(Listini!$U$45-100)/100,0)),0)</f>
        <v>0</v>
      </c>
      <c r="W9" s="302">
        <f>IF($B9&lt;&gt;0,(VLOOKUP($B9,Listini!$A$2:$AD$40,20,FALSE)+IF($C9="Si",Listini!$T$41,0)+IF($D9="Si",Listini!$T$42,0)+IF($H9&lt;&gt;0,VLOOKUP($H9,Listini!$A$51:$AD$54,20,FALSE),0))*(1+IF($E9="Si",(Listini!$V$43-100)/100,0)+IF($F9="Si",(Listini!$V$44-100)/100,0)+IF($G9="Si",(Listini!$V$45-100)/100,0))+$I9*Listini!$T$46+'Riepilogo Fabbisogni'!J9*Listini!$T$47+'Riepilogo Fabbisogni'!K9*Listini!$T$48+'Riepilogo Fabbisogni'!L9*Listini!$T$49+$M9*Listini!$T$50,0)</f>
        <v>0</v>
      </c>
      <c r="X9" s="302">
        <f>IF($B9&lt;&gt;0,VLOOKUP($B9,Listini!$A$2:$AD$40,23,FALSE)*(1+IF($E9="Si",(Listini!$Y$43-100)/100,0)+IF($G9="Si",(Listini!$Y$45-100)/100,0)),0)</f>
        <v>0</v>
      </c>
      <c r="Y9" s="302">
        <f>IF($B9&lt;&gt;0,(VLOOKUP($B9,Listini!$A$2:$AD$40,24,FALSE)+IF($C9="Si",Listini!$X$41,0)+IF($D9="Si",Listini!$X$42,0)+IF($H9&lt;&gt;0,VLOOKUP($H9,Listini!$A$51:$AD$54,24,FALSE),0))*(1+IF($E9="Si",(Listini!$Z$43-100)/100,0)+IF($F9="Si",(Listini!$Z$44-100)/100,0)+IF($G9="Si",(Listini!$Z$45-100)/100,0))+$I9*Listini!$X$46+'Riepilogo Fabbisogni'!J9*Listini!$X$47+'Riepilogo Fabbisogni'!K9*Listini!$X$48+'Riepilogo Fabbisogni'!L9*Listini!$X$49+$M9*Listini!$X$50,0)</f>
        <v>0</v>
      </c>
      <c r="Z9" s="302">
        <f>IF($B9&lt;&gt;0,VLOOKUP($B9,Listini!$A$2:$AD$40,27,FALSE)*(1+IF($E9="Si",(Listini!$AC$43-100)/100,0)+IF($G9="Si",(Listini!$AC$45-100)/100,0)),0)</f>
        <v>0</v>
      </c>
      <c r="AA9" s="302">
        <f>IF($B9&lt;&gt;0,(VLOOKUP($B9,Listini!$A$2:$AD$40,28,FALSE)+IF($C9="Si",Listini!$AB$41,0)+IF($D9="Si",Listini!$AB$42,0)+IF($H9&lt;&gt;0,VLOOKUP($H9,Listini!$A$51:$AD$54,28,FALSE),0))*(1+IF($E9="Si",(Listini!$AD$43-100)/100,0)+IF($F9="Si",(Listini!$AD$44-100)/100,0)+IF($G9="Si",(Listini!$AD$45-100)/100,0))+$I9*Listini!$AB$46+'Riepilogo Fabbisogni'!J9*Listini!$AB$47+'Riepilogo Fabbisogni'!K9*Listini!$AB$48+'Riepilogo Fabbisogni'!L9*Listini!$AB$49+$M9*Listini!$AB$50,0)</f>
        <v>0</v>
      </c>
      <c r="AB9" s="302">
        <f>IF($B9&lt;&gt;0,VLOOKUP($B9,'Listino Offerta'!$A$3:$F$40,3,FALSE)*(1+IF($E9="Si",('Listino Offerta'!$E$43-100)/100,0)+IF($G9="Si",('Listino Offerta'!$E$45-100)/100,0)),0)</f>
        <v>0</v>
      </c>
      <c r="AC9" s="302">
        <f>IF($B9&lt;&gt;0,(VLOOKUP($B9,'Listino Offerta'!$A$2:$AD$40,4,FALSE)+IF($C9="Si",'Listino Offerta'!$D$41,0)+IF($D9="Si",'Listino Offerta'!$D$42,0)+IF($H9&lt;&gt;0,VLOOKUP($H9,'Listino Offerta'!$A$51:$AD$54,4,FALSE),0))*(1+IF($E9="Si",('Listino Offerta'!$F$43-100)/100,0)+IF($F9="Si",('Listino Offerta'!$F$44-100)/100,0)+IF($G9="Si",('Listino Offerta'!$F$45-100)/100,0))+$I9*'Listino Offerta'!$D$46+'Riepilogo Fabbisogni'!J9*'Listino Offerta'!$D$47+'Riepilogo Fabbisogni'!K9*'Listino Offerta'!$D$48+'Riepilogo Fabbisogni'!L9*'Listino Offerta'!$D$49+$M9*'Listino Offerta'!$D$50,0)</f>
        <v>0</v>
      </c>
    </row>
    <row r="10" spans="1:29" s="302" customFormat="1" ht="12" customHeight="1">
      <c r="A10" s="298">
        <v>8</v>
      </c>
      <c r="B10" s="299">
        <f>'Servizi di Trasporto Dati'!D12</f>
        <v>0</v>
      </c>
      <c r="C10" s="299">
        <f>'Servizi di Trasporto Dati'!E12</f>
        <v>0</v>
      </c>
      <c r="D10" s="299">
        <f>'Servizi di Trasporto Dati'!F12</f>
        <v>0</v>
      </c>
      <c r="E10" s="299">
        <f>IF(AND('Servizi di Trasporto Dati'!G12="Si",'Servizi di Trasporto Dati'!H12&lt;&gt;"Si"),"Si","")</f>
      </c>
      <c r="F10" s="299">
        <f>IF(AND('Servizi di Trasporto Dati'!G12&lt;&gt;"Si",'Servizi di Trasporto Dati'!H12="Si"),"Si","")</f>
      </c>
      <c r="G10" s="299">
        <f>IF(AND('Servizi di Trasporto Dati'!G12="Si",'Servizi di Trasporto Dati'!H12="Si"),"Si","")</f>
      </c>
      <c r="H10" s="299">
        <f>'Servizi di Trasporto Dati'!I12</f>
        <v>0</v>
      </c>
      <c r="I10" s="299">
        <f>'Servizi di Trasporto Dati'!J12</f>
        <v>0</v>
      </c>
      <c r="J10" s="299">
        <f>'Servizi di Trasporto Dati'!K12</f>
        <v>0</v>
      </c>
      <c r="K10" s="299">
        <f>'Servizi di Trasporto Dati'!L12</f>
        <v>0</v>
      </c>
      <c r="L10" s="299">
        <f>'Servizi di Trasporto Dati'!M12</f>
        <v>0</v>
      </c>
      <c r="M10" s="300">
        <f>'Servizi di Trasporto Dati'!N12</f>
        <v>0</v>
      </c>
      <c r="N10" s="301">
        <f>IF($B10&lt;&gt;0,VLOOKUP($B10,Listini!$A$2:$AD$40,3,FALSE)*(1+IF($E10="Si",(Listini!$E$43-100)/100,0)+IF($G10="Si",(Listini!$E$45-100)/100,0)),0)</f>
        <v>0</v>
      </c>
      <c r="O10" s="301">
        <f>IF($B10&lt;&gt;0,(VLOOKUP($B10,Listini!$A$2:$AD$40,4,FALSE)+IF($C10="Si",Listini!$D$41,0)+IF($D10="Si",Listini!$D$42,0)+IF($H10&lt;&gt;0,VLOOKUP($H10,Listini!$A$51:$AD$54,4,FALSE),0))*(1+IF($E10="Si",(Listini!$F$43-100)/100,0)+IF($F10="Si",(Listini!$F$44-100)/100,0)+IF($G10="Si",(Listini!$F$45-100)/100,0))+$I10*Listini!$D$46+'Riepilogo Fabbisogni'!J10*Listini!$D$47+'Riepilogo Fabbisogni'!K10*Listini!$D$48+'Riepilogo Fabbisogni'!L10*Listini!$D$49+$M10*Listini!$D$50,0)</f>
        <v>0</v>
      </c>
      <c r="P10" s="301">
        <f>IF($B10&lt;&gt;0,VLOOKUP($B10,Listini!$A$2:$AD$40,7,FALSE)*(1+IF($E10="Si",(Listini!$I$43-100)/100,0)+IF($G10="Si",(Listini!$I$45-100)/100,0)),0)</f>
        <v>0</v>
      </c>
      <c r="Q10" s="301">
        <f>IF($B10&lt;&gt;0,(VLOOKUP($B10,Listini!$A$2:$AD$40,8,FALSE)+IF($C10="Si",Listini!$H$41,0)+IF($D10="Si",Listini!$H$42,0)+IF($H10&lt;&gt;0,VLOOKUP($H10,Listini!$A$51:$AD$54,8,FALSE),0))*(1+IF($E10="Si",(Listini!$J$43-100)/100,0)+IF($F10="Si",(Listini!$J$44-100)/100,0)+IF($G10="Si",(Listini!$J$45-100)/100,0))+$I10*Listini!$H$46+'Riepilogo Fabbisogni'!J10*Listini!$H$47+'Riepilogo Fabbisogni'!K10*Listini!$H$48+'Riepilogo Fabbisogni'!L10*Listini!$H$49+$M10*Listini!$H$50,0)</f>
        <v>0</v>
      </c>
      <c r="R10" s="301">
        <f>IF($B10&lt;&gt;0,VLOOKUP($B10,Listini!$A$2:$AD$40,11,FALSE)*(1+IF($E10="Si",(Listini!$M$43-100)/100,0)+IF($G10="Si",(Listini!$M$45-100)/100,0)),0)</f>
        <v>0</v>
      </c>
      <c r="S10" s="301">
        <f>IF($B10&lt;&gt;0,(VLOOKUP($B10,Listini!$A$2:$AD$40,12,FALSE)+IF($C10="Si",Listini!$L$41,0)+IF($D10="Si",Listini!$L$42,0)+IF($H10&lt;&gt;0,VLOOKUP($H10,Listini!$A$51:$AD$54,12,FALSE),0))*(1+IF($E10="Si",(Listini!$N$43-100)/100,0)+IF($F10="Si",(Listini!$N$44-100)/100,0)+IF($G10="Si",(Listini!$N$45-100)/100,0))+$I10*Listini!$L$46+'Riepilogo Fabbisogni'!J10*Listini!$L$47+'Riepilogo Fabbisogni'!K10*Listini!$L$48+'Riepilogo Fabbisogni'!L10*Listini!$L$49+$M10*Listini!$L$50,0)</f>
        <v>0</v>
      </c>
      <c r="T10" s="302">
        <f>IF($B10&lt;&gt;0,VLOOKUP($B10,Listini!$A$2:$AD$40,15,FALSE)*(1+IF($E10="Si",(Listini!$Q$43-100)/100,0)+IF($G10="Si",(Listini!$Q$45-100)/100,0)),0)</f>
        <v>0</v>
      </c>
      <c r="U10" s="302">
        <f>IF($B10&lt;&gt;0,(VLOOKUP($B10,Listini!$A$2:$AD$40,16,FALSE)+IF($C10="Si",Listini!$P$41,0)+IF($D10="Si",Listini!$P$42,0)+IF($H10&lt;&gt;0,VLOOKUP($H10,Listini!$A$51:$AD$54,16,FALSE),0))*(1+IF($E10="Si",(Listini!$R$43-100)/100,0)+IF($F10="Si",(Listini!$R$44-100)/100,0)+IF($G10="Si",(Listini!$R$45-100)/100,0))+$I10*Listini!$P$46+'Riepilogo Fabbisogni'!J10*Listini!$P$47+'Riepilogo Fabbisogni'!K10*Listini!$P$48+'Riepilogo Fabbisogni'!L10*Listini!$P$49+$M10*Listini!$P$50,0)</f>
        <v>0</v>
      </c>
      <c r="V10" s="302">
        <f>IF($B10&lt;&gt;0,VLOOKUP($B10,Listini!$A$2:$AD$40,19,FALSE)*(1+IF($E10="Si",(Listini!$U$43-100)/100,0)+IF($G10="Si",(Listini!$U$45-100)/100,0)),0)</f>
        <v>0</v>
      </c>
      <c r="W10" s="302">
        <f>IF($B10&lt;&gt;0,(VLOOKUP($B10,Listini!$A$2:$AD$40,20,FALSE)+IF($C10="Si",Listini!$T$41,0)+IF($D10="Si",Listini!$T$42,0)+IF($H10&lt;&gt;0,VLOOKUP($H10,Listini!$A$51:$AD$54,20,FALSE),0))*(1+IF($E10="Si",(Listini!$V$43-100)/100,0)+IF($F10="Si",(Listini!$V$44-100)/100,0)+IF($G10="Si",(Listini!$V$45-100)/100,0))+$I10*Listini!$T$46+'Riepilogo Fabbisogni'!J10*Listini!$T$47+'Riepilogo Fabbisogni'!K10*Listini!$T$48+'Riepilogo Fabbisogni'!L10*Listini!$T$49+$M10*Listini!$T$50,0)</f>
        <v>0</v>
      </c>
      <c r="X10" s="302">
        <f>IF($B10&lt;&gt;0,VLOOKUP($B10,Listini!$A$2:$AD$40,23,FALSE)*(1+IF($E10="Si",(Listini!$Y$43-100)/100,0)+IF($G10="Si",(Listini!$Y$45-100)/100,0)),0)</f>
        <v>0</v>
      </c>
      <c r="Y10" s="302">
        <f>IF($B10&lt;&gt;0,(VLOOKUP($B10,Listini!$A$2:$AD$40,24,FALSE)+IF($C10="Si",Listini!$X$41,0)+IF($D10="Si",Listini!$X$42,0)+IF($H10&lt;&gt;0,VLOOKUP($H10,Listini!$A$51:$AD$54,24,FALSE),0))*(1+IF($E10="Si",(Listini!$Z$43-100)/100,0)+IF($F10="Si",(Listini!$Z$44-100)/100,0)+IF($G10="Si",(Listini!$Z$45-100)/100,0))+$I10*Listini!$X$46+'Riepilogo Fabbisogni'!J10*Listini!$X$47+'Riepilogo Fabbisogni'!K10*Listini!$X$48+'Riepilogo Fabbisogni'!L10*Listini!$X$49+$M10*Listini!$X$50,0)</f>
        <v>0</v>
      </c>
      <c r="Z10" s="302">
        <f>IF($B10&lt;&gt;0,VLOOKUP($B10,Listini!$A$2:$AD$40,27,FALSE)*(1+IF($E10="Si",(Listini!$AC$43-100)/100,0)+IF($G10="Si",(Listini!$AC$45-100)/100,0)),0)</f>
        <v>0</v>
      </c>
      <c r="AA10" s="302">
        <f>IF($B10&lt;&gt;0,(VLOOKUP($B10,Listini!$A$2:$AD$40,28,FALSE)+IF($C10="Si",Listini!$AB$41,0)+IF($D10="Si",Listini!$AB$42,0)+IF($H10&lt;&gt;0,VLOOKUP($H10,Listini!$A$51:$AD$54,28,FALSE),0))*(1+IF($E10="Si",(Listini!$AD$43-100)/100,0)+IF($F10="Si",(Listini!$AD$44-100)/100,0)+IF($G10="Si",(Listini!$AD$45-100)/100,0))+$I10*Listini!$AB$46+'Riepilogo Fabbisogni'!J10*Listini!$AB$47+'Riepilogo Fabbisogni'!K10*Listini!$AB$48+'Riepilogo Fabbisogni'!L10*Listini!$AB$49+$M10*Listini!$AB$50,0)</f>
        <v>0</v>
      </c>
      <c r="AB10" s="302">
        <f>IF($B10&lt;&gt;0,VLOOKUP($B10,'Listino Offerta'!$A$3:$F$40,3,FALSE)*(1+IF($E10="Si",('Listino Offerta'!$E$43-100)/100,0)+IF($G10="Si",('Listino Offerta'!$E$45-100)/100,0)),0)</f>
        <v>0</v>
      </c>
      <c r="AC10" s="302">
        <f>IF($B10&lt;&gt;0,(VLOOKUP($B10,'Listino Offerta'!$A$2:$AD$40,4,FALSE)+IF($C10="Si",'Listino Offerta'!$D$41,0)+IF($D10="Si",'Listino Offerta'!$D$42,0)+IF($H10&lt;&gt;0,VLOOKUP($H10,'Listino Offerta'!$A$51:$AD$54,4,FALSE),0))*(1+IF($E10="Si",('Listino Offerta'!$F$43-100)/100,0)+IF($F10="Si",('Listino Offerta'!$F$44-100)/100,0)+IF($G10="Si",('Listino Offerta'!$F$45-100)/100,0))+$I10*'Listino Offerta'!$D$46+'Riepilogo Fabbisogni'!J10*'Listino Offerta'!$D$47+'Riepilogo Fabbisogni'!K10*'Listino Offerta'!$D$48+'Riepilogo Fabbisogni'!L10*'Listino Offerta'!$D$49+$M10*'Listino Offerta'!$D$50,0)</f>
        <v>0</v>
      </c>
    </row>
    <row r="11" spans="1:29" s="302" customFormat="1" ht="12" customHeight="1">
      <c r="A11" s="298">
        <v>9</v>
      </c>
      <c r="B11" s="299">
        <f>'Servizi di Trasporto Dati'!D13</f>
        <v>0</v>
      </c>
      <c r="C11" s="299">
        <f>'Servizi di Trasporto Dati'!E13</f>
        <v>0</v>
      </c>
      <c r="D11" s="299">
        <f>'Servizi di Trasporto Dati'!F13</f>
        <v>0</v>
      </c>
      <c r="E11" s="299">
        <f>IF(AND('Servizi di Trasporto Dati'!G13="Si",'Servizi di Trasporto Dati'!H13&lt;&gt;"Si"),"Si","")</f>
      </c>
      <c r="F11" s="299">
        <f>IF(AND('Servizi di Trasporto Dati'!G13&lt;&gt;"Si",'Servizi di Trasporto Dati'!H13="Si"),"Si","")</f>
      </c>
      <c r="G11" s="299">
        <f>IF(AND('Servizi di Trasporto Dati'!G13="Si",'Servizi di Trasporto Dati'!H13="Si"),"Si","")</f>
      </c>
      <c r="H11" s="299">
        <f>'Servizi di Trasporto Dati'!I13</f>
        <v>0</v>
      </c>
      <c r="I11" s="299">
        <f>'Servizi di Trasporto Dati'!J13</f>
        <v>0</v>
      </c>
      <c r="J11" s="299">
        <f>'Servizi di Trasporto Dati'!K13</f>
        <v>0</v>
      </c>
      <c r="K11" s="299">
        <f>'Servizi di Trasporto Dati'!L13</f>
        <v>0</v>
      </c>
      <c r="L11" s="299">
        <f>'Servizi di Trasporto Dati'!M13</f>
        <v>0</v>
      </c>
      <c r="M11" s="300">
        <f>'Servizi di Trasporto Dati'!N13</f>
        <v>0</v>
      </c>
      <c r="N11" s="301">
        <f>IF($B11&lt;&gt;0,VLOOKUP($B11,Listini!$A$2:$AD$40,3,FALSE)*(1+IF($E11="Si",(Listini!$E$43-100)/100,0)+IF($G11="Si",(Listini!$E$45-100)/100,0)),0)</f>
        <v>0</v>
      </c>
      <c r="O11" s="301">
        <f>IF($B11&lt;&gt;0,(VLOOKUP($B11,Listini!$A$2:$AD$40,4,FALSE)+IF($C11="Si",Listini!$D$41,0)+IF($D11="Si",Listini!$D$42,0)+IF($H11&lt;&gt;0,VLOOKUP($H11,Listini!$A$51:$AD$54,4,FALSE),0))*(1+IF($E11="Si",(Listini!$F$43-100)/100,0)+IF($F11="Si",(Listini!$F$44-100)/100,0)+IF($G11="Si",(Listini!$F$45-100)/100,0))+$I11*Listini!$D$46+'Riepilogo Fabbisogni'!J11*Listini!$D$47+'Riepilogo Fabbisogni'!K11*Listini!$D$48+'Riepilogo Fabbisogni'!L11*Listini!$D$49+$M11*Listini!$D$50,0)</f>
        <v>0</v>
      </c>
      <c r="P11" s="301">
        <f>IF($B11&lt;&gt;0,VLOOKUP($B11,Listini!$A$2:$AD$40,7,FALSE)*(1+IF($E11="Si",(Listini!$I$43-100)/100,0)+IF($G11="Si",(Listini!$I$45-100)/100,0)),0)</f>
        <v>0</v>
      </c>
      <c r="Q11" s="301">
        <f>IF($B11&lt;&gt;0,(VLOOKUP($B11,Listini!$A$2:$AD$40,8,FALSE)+IF($C11="Si",Listini!$H$41,0)+IF($D11="Si",Listini!$H$42,0)+IF($H11&lt;&gt;0,VLOOKUP($H11,Listini!$A$51:$AD$54,8,FALSE),0))*(1+IF($E11="Si",(Listini!$J$43-100)/100,0)+IF($F11="Si",(Listini!$J$44-100)/100,0)+IF($G11="Si",(Listini!$J$45-100)/100,0))+$I11*Listini!$H$46+'Riepilogo Fabbisogni'!J11*Listini!$H$47+'Riepilogo Fabbisogni'!K11*Listini!$H$48+'Riepilogo Fabbisogni'!L11*Listini!$H$49+$M11*Listini!$H$50,0)</f>
        <v>0</v>
      </c>
      <c r="R11" s="301">
        <f>IF($B11&lt;&gt;0,VLOOKUP($B11,Listini!$A$2:$AD$40,11,FALSE)*(1+IF($E11="Si",(Listini!$M$43-100)/100,0)+IF($G11="Si",(Listini!$M$45-100)/100,0)),0)</f>
        <v>0</v>
      </c>
      <c r="S11" s="301">
        <f>IF($B11&lt;&gt;0,(VLOOKUP($B11,Listini!$A$2:$AD$40,12,FALSE)+IF($C11="Si",Listini!$L$41,0)+IF($D11="Si",Listini!$L$42,0)+IF($H11&lt;&gt;0,VLOOKUP($H11,Listini!$A$51:$AD$54,12,FALSE),0))*(1+IF($E11="Si",(Listini!$N$43-100)/100,0)+IF($F11="Si",(Listini!$N$44-100)/100,0)+IF($G11="Si",(Listini!$N$45-100)/100,0))+$I11*Listini!$L$46+'Riepilogo Fabbisogni'!J11*Listini!$L$47+'Riepilogo Fabbisogni'!K11*Listini!$L$48+'Riepilogo Fabbisogni'!L11*Listini!$L$49+$M11*Listini!$L$50,0)</f>
        <v>0</v>
      </c>
      <c r="T11" s="302">
        <f>IF($B11&lt;&gt;0,VLOOKUP($B11,Listini!$A$2:$AD$40,15,FALSE)*(1+IF($E11="Si",(Listini!$Q$43-100)/100,0)+IF($G11="Si",(Listini!$Q$45-100)/100,0)),0)</f>
        <v>0</v>
      </c>
      <c r="U11" s="302">
        <f>IF($B11&lt;&gt;0,(VLOOKUP($B11,Listini!$A$2:$AD$40,16,FALSE)+IF($C11="Si",Listini!$P$41,0)+IF($D11="Si",Listini!$P$42,0)+IF($H11&lt;&gt;0,VLOOKUP($H11,Listini!$A$51:$AD$54,16,FALSE),0))*(1+IF($E11="Si",(Listini!$R$43-100)/100,0)+IF($F11="Si",(Listini!$R$44-100)/100,0)+IF($G11="Si",(Listini!$R$45-100)/100,0))+$I11*Listini!$P$46+'Riepilogo Fabbisogni'!J11*Listini!$P$47+'Riepilogo Fabbisogni'!K11*Listini!$P$48+'Riepilogo Fabbisogni'!L11*Listini!$P$49+$M11*Listini!$P$50,0)</f>
        <v>0</v>
      </c>
      <c r="V11" s="302">
        <f>IF($B11&lt;&gt;0,VLOOKUP($B11,Listini!$A$2:$AD$40,19,FALSE)*(1+IF($E11="Si",(Listini!$U$43-100)/100,0)+IF($G11="Si",(Listini!$U$45-100)/100,0)),0)</f>
        <v>0</v>
      </c>
      <c r="W11" s="302">
        <f>IF($B11&lt;&gt;0,(VLOOKUP($B11,Listini!$A$2:$AD$40,20,FALSE)+IF($C11="Si",Listini!$T$41,0)+IF($D11="Si",Listini!$T$42,0)+IF($H11&lt;&gt;0,VLOOKUP($H11,Listini!$A$51:$AD$54,20,FALSE),0))*(1+IF($E11="Si",(Listini!$V$43-100)/100,0)+IF($F11="Si",(Listini!$V$44-100)/100,0)+IF($G11="Si",(Listini!$V$45-100)/100,0))+$I11*Listini!$T$46+'Riepilogo Fabbisogni'!J11*Listini!$T$47+'Riepilogo Fabbisogni'!K11*Listini!$T$48+'Riepilogo Fabbisogni'!L11*Listini!$T$49+$M11*Listini!$T$50,0)</f>
        <v>0</v>
      </c>
      <c r="X11" s="302">
        <f>IF($B11&lt;&gt;0,VLOOKUP($B11,Listini!$A$2:$AD$40,23,FALSE)*(1+IF($E11="Si",(Listini!$Y$43-100)/100,0)+IF($G11="Si",(Listini!$Y$45-100)/100,0)),0)</f>
        <v>0</v>
      </c>
      <c r="Y11" s="302">
        <f>IF($B11&lt;&gt;0,(VLOOKUP($B11,Listini!$A$2:$AD$40,24,FALSE)+IF($C11="Si",Listini!$X$41,0)+IF($D11="Si",Listini!$X$42,0)+IF($H11&lt;&gt;0,VLOOKUP($H11,Listini!$A$51:$AD$54,24,FALSE),0))*(1+IF($E11="Si",(Listini!$Z$43-100)/100,0)+IF($F11="Si",(Listini!$Z$44-100)/100,0)+IF($G11="Si",(Listini!$Z$45-100)/100,0))+$I11*Listini!$X$46+'Riepilogo Fabbisogni'!J11*Listini!$X$47+'Riepilogo Fabbisogni'!K11*Listini!$X$48+'Riepilogo Fabbisogni'!L11*Listini!$X$49+$M11*Listini!$X$50,0)</f>
        <v>0</v>
      </c>
      <c r="Z11" s="302">
        <f>IF($B11&lt;&gt;0,VLOOKUP($B11,Listini!$A$2:$AD$40,27,FALSE)*(1+IF($E11="Si",(Listini!$AC$43-100)/100,0)+IF($G11="Si",(Listini!$AC$45-100)/100,0)),0)</f>
        <v>0</v>
      </c>
      <c r="AA11" s="302">
        <f>IF($B11&lt;&gt;0,(VLOOKUP($B11,Listini!$A$2:$AD$40,28,FALSE)+IF($C11="Si",Listini!$AB$41,0)+IF($D11="Si",Listini!$AB$42,0)+IF($H11&lt;&gt;0,VLOOKUP($H11,Listini!$A$51:$AD$54,28,FALSE),0))*(1+IF($E11="Si",(Listini!$AD$43-100)/100,0)+IF($F11="Si",(Listini!$AD$44-100)/100,0)+IF($G11="Si",(Listini!$AD$45-100)/100,0))+$I11*Listini!$AB$46+'Riepilogo Fabbisogni'!J11*Listini!$AB$47+'Riepilogo Fabbisogni'!K11*Listini!$AB$48+'Riepilogo Fabbisogni'!L11*Listini!$AB$49+$M11*Listini!$AB$50,0)</f>
        <v>0</v>
      </c>
      <c r="AB11" s="302">
        <f>IF($B11&lt;&gt;0,VLOOKUP($B11,'Listino Offerta'!$A$3:$F$40,3,FALSE)*(1+IF($E11="Si",('Listino Offerta'!$E$43-100)/100,0)+IF($G11="Si",('Listino Offerta'!$E$45-100)/100,0)),0)</f>
        <v>0</v>
      </c>
      <c r="AC11" s="302">
        <f>IF($B11&lt;&gt;0,(VLOOKUP($B11,'Listino Offerta'!$A$2:$AD$40,4,FALSE)+IF($C11="Si",'Listino Offerta'!$D$41,0)+IF($D11="Si",'Listino Offerta'!$D$42,0)+IF($H11&lt;&gt;0,VLOOKUP($H11,'Listino Offerta'!$A$51:$AD$54,4,FALSE),0))*(1+IF($E11="Si",('Listino Offerta'!$F$43-100)/100,0)+IF($F11="Si",('Listino Offerta'!$F$44-100)/100,0)+IF($G11="Si",('Listino Offerta'!$F$45-100)/100,0))+$I11*'Listino Offerta'!$D$46+'Riepilogo Fabbisogni'!J11*'Listino Offerta'!$D$47+'Riepilogo Fabbisogni'!K11*'Listino Offerta'!$D$48+'Riepilogo Fabbisogni'!L11*'Listino Offerta'!$D$49+$M11*'Listino Offerta'!$D$50,0)</f>
        <v>0</v>
      </c>
    </row>
    <row r="12" spans="1:29" s="302" customFormat="1" ht="12" customHeight="1">
      <c r="A12" s="298">
        <v>10</v>
      </c>
      <c r="B12" s="299">
        <f>'Servizi di Trasporto Dati'!D14</f>
        <v>0</v>
      </c>
      <c r="C12" s="299">
        <f>'Servizi di Trasporto Dati'!E14</f>
        <v>0</v>
      </c>
      <c r="D12" s="299">
        <f>'Servizi di Trasporto Dati'!F14</f>
        <v>0</v>
      </c>
      <c r="E12" s="299">
        <f>IF(AND('Servizi di Trasporto Dati'!G14="Si",'Servizi di Trasporto Dati'!H14&lt;&gt;"Si"),"Si","")</f>
      </c>
      <c r="F12" s="299">
        <f>IF(AND('Servizi di Trasporto Dati'!G14&lt;&gt;"Si",'Servizi di Trasporto Dati'!H14="Si"),"Si","")</f>
      </c>
      <c r="G12" s="299">
        <f>IF(AND('Servizi di Trasporto Dati'!G14="Si",'Servizi di Trasporto Dati'!H14="Si"),"Si","")</f>
      </c>
      <c r="H12" s="299">
        <f>'Servizi di Trasporto Dati'!I14</f>
        <v>0</v>
      </c>
      <c r="I12" s="299">
        <f>'Servizi di Trasporto Dati'!J14</f>
        <v>0</v>
      </c>
      <c r="J12" s="299">
        <f>'Servizi di Trasporto Dati'!K14</f>
        <v>0</v>
      </c>
      <c r="K12" s="299">
        <f>'Servizi di Trasporto Dati'!L14</f>
        <v>0</v>
      </c>
      <c r="L12" s="299">
        <f>'Servizi di Trasporto Dati'!M14</f>
        <v>0</v>
      </c>
      <c r="M12" s="300">
        <f>'Servizi di Trasporto Dati'!N14</f>
        <v>0</v>
      </c>
      <c r="N12" s="301">
        <f>IF($B12&lt;&gt;0,VLOOKUP($B12,Listini!$A$2:$AD$40,3,FALSE)*(1+IF($E12="Si",(Listini!$E$43-100)/100,0)+IF($G12="Si",(Listini!$E$45-100)/100,0)),0)</f>
        <v>0</v>
      </c>
      <c r="O12" s="301">
        <f>IF($B12&lt;&gt;0,(VLOOKUP($B12,Listini!$A$2:$AD$40,4,FALSE)+IF($C12="Si",Listini!$D$41,0)+IF($D12="Si",Listini!$D$42,0)+IF($H12&lt;&gt;0,VLOOKUP($H12,Listini!$A$51:$AD$54,4,FALSE),0))*(1+IF($E12="Si",(Listini!$F$43-100)/100,0)+IF($F12="Si",(Listini!$F$44-100)/100,0)+IF($G12="Si",(Listini!$F$45-100)/100,0))+$I12*Listini!$D$46+'Riepilogo Fabbisogni'!J12*Listini!$D$47+'Riepilogo Fabbisogni'!K12*Listini!$D$48+'Riepilogo Fabbisogni'!L12*Listini!$D$49+$M12*Listini!$D$50,0)</f>
        <v>0</v>
      </c>
      <c r="P12" s="301">
        <f>IF($B12&lt;&gt;0,VLOOKUP($B12,Listini!$A$2:$AD$40,7,FALSE)*(1+IF($E12="Si",(Listini!$I$43-100)/100,0)+IF($G12="Si",(Listini!$I$45-100)/100,0)),0)</f>
        <v>0</v>
      </c>
      <c r="Q12" s="301">
        <f>IF($B12&lt;&gt;0,(VLOOKUP($B12,Listini!$A$2:$AD$40,8,FALSE)+IF($C12="Si",Listini!$H$41,0)+IF($D12="Si",Listini!$H$42,0)+IF($H12&lt;&gt;0,VLOOKUP($H12,Listini!$A$51:$AD$54,8,FALSE),0))*(1+IF($E12="Si",(Listini!$J$43-100)/100,0)+IF($F12="Si",(Listini!$J$44-100)/100,0)+IF($G12="Si",(Listini!$J$45-100)/100,0))+$I12*Listini!$H$46+'Riepilogo Fabbisogni'!J12*Listini!$H$47+'Riepilogo Fabbisogni'!K12*Listini!$H$48+'Riepilogo Fabbisogni'!L12*Listini!$H$49+$M12*Listini!$H$50,0)</f>
        <v>0</v>
      </c>
      <c r="R12" s="301">
        <f>IF($B12&lt;&gt;0,VLOOKUP($B12,Listini!$A$2:$AD$40,11,FALSE)*(1+IF($E12="Si",(Listini!$M$43-100)/100,0)+IF($G12="Si",(Listini!$M$45-100)/100,0)),0)</f>
        <v>0</v>
      </c>
      <c r="S12" s="301">
        <f>IF($B12&lt;&gt;0,(VLOOKUP($B12,Listini!$A$2:$AD$40,12,FALSE)+IF($C12="Si",Listini!$L$41,0)+IF($D12="Si",Listini!$L$42,0)+IF($H12&lt;&gt;0,VLOOKUP($H12,Listini!$A$51:$AD$54,12,FALSE),0))*(1+IF($E12="Si",(Listini!$N$43-100)/100,0)+IF($F12="Si",(Listini!$N$44-100)/100,0)+IF($G12="Si",(Listini!$N$45-100)/100,0))+$I12*Listini!$L$46+'Riepilogo Fabbisogni'!J12*Listini!$L$47+'Riepilogo Fabbisogni'!K12*Listini!$L$48+'Riepilogo Fabbisogni'!L12*Listini!$L$49+$M12*Listini!$L$50,0)</f>
        <v>0</v>
      </c>
      <c r="T12" s="302">
        <f>IF($B12&lt;&gt;0,VLOOKUP($B12,Listini!$A$2:$AD$40,15,FALSE)*(1+IF($E12="Si",(Listini!$Q$43-100)/100,0)+IF($G12="Si",(Listini!$Q$45-100)/100,0)),0)</f>
        <v>0</v>
      </c>
      <c r="U12" s="302">
        <f>IF($B12&lt;&gt;0,(VLOOKUP($B12,Listini!$A$2:$AD$40,16,FALSE)+IF($C12="Si",Listini!$P$41,0)+IF($D12="Si",Listini!$P$42,0)+IF($H12&lt;&gt;0,VLOOKUP($H12,Listini!$A$51:$AD$54,16,FALSE),0))*(1+IF($E12="Si",(Listini!$R$43-100)/100,0)+IF($F12="Si",(Listini!$R$44-100)/100,0)+IF($G12="Si",(Listini!$R$45-100)/100,0))+$I12*Listini!$P$46+'Riepilogo Fabbisogni'!J12*Listini!$P$47+'Riepilogo Fabbisogni'!K12*Listini!$P$48+'Riepilogo Fabbisogni'!L12*Listini!$P$49+$M12*Listini!$P$50,0)</f>
        <v>0</v>
      </c>
      <c r="V12" s="302">
        <f>IF($B12&lt;&gt;0,VLOOKUP($B12,Listini!$A$2:$AD$40,19,FALSE)*(1+IF($E12="Si",(Listini!$U$43-100)/100,0)+IF($G12="Si",(Listini!$U$45-100)/100,0)),0)</f>
        <v>0</v>
      </c>
      <c r="W12" s="302">
        <f>IF($B12&lt;&gt;0,(VLOOKUP($B12,Listini!$A$2:$AD$40,20,FALSE)+IF($C12="Si",Listini!$T$41,0)+IF($D12="Si",Listini!$T$42,0)+IF($H12&lt;&gt;0,VLOOKUP($H12,Listini!$A$51:$AD$54,20,FALSE),0))*(1+IF($E12="Si",(Listini!$V$43-100)/100,0)+IF($F12="Si",(Listini!$V$44-100)/100,0)+IF($G12="Si",(Listini!$V$45-100)/100,0))+$I12*Listini!$T$46+'Riepilogo Fabbisogni'!J12*Listini!$T$47+'Riepilogo Fabbisogni'!K12*Listini!$T$48+'Riepilogo Fabbisogni'!L12*Listini!$T$49+$M12*Listini!$T$50,0)</f>
        <v>0</v>
      </c>
      <c r="X12" s="302">
        <f>IF($B12&lt;&gt;0,VLOOKUP($B12,Listini!$A$2:$AD$40,23,FALSE)*(1+IF($E12="Si",(Listini!$Y$43-100)/100,0)+IF($G12="Si",(Listini!$Y$45-100)/100,0)),0)</f>
        <v>0</v>
      </c>
      <c r="Y12" s="302">
        <f>IF($B12&lt;&gt;0,(VLOOKUP($B12,Listini!$A$2:$AD$40,24,FALSE)+IF($C12="Si",Listini!$X$41,0)+IF($D12="Si",Listini!$X$42,0)+IF($H12&lt;&gt;0,VLOOKUP($H12,Listini!$A$51:$AD$54,24,FALSE),0))*(1+IF($E12="Si",(Listini!$Z$43-100)/100,0)+IF($F12="Si",(Listini!$Z$44-100)/100,0)+IF($G12="Si",(Listini!$Z$45-100)/100,0))+$I12*Listini!$X$46+'Riepilogo Fabbisogni'!J12*Listini!$X$47+'Riepilogo Fabbisogni'!K12*Listini!$X$48+'Riepilogo Fabbisogni'!L12*Listini!$X$49+$M12*Listini!$X$50,0)</f>
        <v>0</v>
      </c>
      <c r="Z12" s="302">
        <f>IF($B12&lt;&gt;0,VLOOKUP($B12,Listini!$A$2:$AD$40,27,FALSE)*(1+IF($E12="Si",(Listini!$AC$43-100)/100,0)+IF($G12="Si",(Listini!$AC$45-100)/100,0)),0)</f>
        <v>0</v>
      </c>
      <c r="AA12" s="302">
        <f>IF($B12&lt;&gt;0,(VLOOKUP($B12,Listini!$A$2:$AD$40,28,FALSE)+IF($C12="Si",Listini!$AB$41,0)+IF($D12="Si",Listini!$AB$42,0)+IF($H12&lt;&gt;0,VLOOKUP($H12,Listini!$A$51:$AD$54,28,FALSE),0))*(1+IF($E12="Si",(Listini!$AD$43-100)/100,0)+IF($F12="Si",(Listini!$AD$44-100)/100,0)+IF($G12="Si",(Listini!$AD$45-100)/100,0))+$I12*Listini!$AB$46+'Riepilogo Fabbisogni'!J12*Listini!$AB$47+'Riepilogo Fabbisogni'!K12*Listini!$AB$48+'Riepilogo Fabbisogni'!L12*Listini!$AB$49+$M12*Listini!$AB$50,0)</f>
        <v>0</v>
      </c>
      <c r="AB12" s="302">
        <f>IF($B12&lt;&gt;0,VLOOKUP($B12,'Listino Offerta'!$A$3:$F$40,3,FALSE)*(1+IF($E12="Si",('Listino Offerta'!$E$43-100)/100,0)+IF($G12="Si",('Listino Offerta'!$E$45-100)/100,0)),0)</f>
        <v>0</v>
      </c>
      <c r="AC12" s="302">
        <f>IF($B12&lt;&gt;0,(VLOOKUP($B12,'Listino Offerta'!$A$2:$AD$40,4,FALSE)+IF($C12="Si",'Listino Offerta'!$D$41,0)+IF($D12="Si",'Listino Offerta'!$D$42,0)+IF($H12&lt;&gt;0,VLOOKUP($H12,'Listino Offerta'!$A$51:$AD$54,4,FALSE),0))*(1+IF($E12="Si",('Listino Offerta'!$F$43-100)/100,0)+IF($F12="Si",('Listino Offerta'!$F$44-100)/100,0)+IF($G12="Si",('Listino Offerta'!$F$45-100)/100,0))+$I12*'Listino Offerta'!$D$46+'Riepilogo Fabbisogni'!J12*'Listino Offerta'!$D$47+'Riepilogo Fabbisogni'!K12*'Listino Offerta'!$D$48+'Riepilogo Fabbisogni'!L12*'Listino Offerta'!$D$49+$M12*'Listino Offerta'!$D$50,0)</f>
        <v>0</v>
      </c>
    </row>
    <row r="13" spans="1:29" s="302" customFormat="1" ht="12" customHeight="1">
      <c r="A13" s="298">
        <v>11</v>
      </c>
      <c r="B13" s="299">
        <f>'Servizi di Trasporto Dati'!D15</f>
        <v>0</v>
      </c>
      <c r="C13" s="299">
        <f>'Servizi di Trasporto Dati'!E15</f>
        <v>0</v>
      </c>
      <c r="D13" s="299">
        <f>'Servizi di Trasporto Dati'!F15</f>
        <v>0</v>
      </c>
      <c r="E13" s="299">
        <f>IF(AND('Servizi di Trasporto Dati'!G15="Si",'Servizi di Trasporto Dati'!H15&lt;&gt;"Si"),"Si","")</f>
      </c>
      <c r="F13" s="299">
        <f>IF(AND('Servizi di Trasporto Dati'!G15&lt;&gt;"Si",'Servizi di Trasporto Dati'!H15="Si"),"Si","")</f>
      </c>
      <c r="G13" s="299">
        <f>IF(AND('Servizi di Trasporto Dati'!G15="Si",'Servizi di Trasporto Dati'!H15="Si"),"Si","")</f>
      </c>
      <c r="H13" s="299">
        <f>'Servizi di Trasporto Dati'!I15</f>
        <v>0</v>
      </c>
      <c r="I13" s="299">
        <f>'Servizi di Trasporto Dati'!J15</f>
        <v>0</v>
      </c>
      <c r="J13" s="299">
        <f>'Servizi di Trasporto Dati'!K15</f>
        <v>0</v>
      </c>
      <c r="K13" s="299">
        <f>'Servizi di Trasporto Dati'!L15</f>
        <v>0</v>
      </c>
      <c r="L13" s="299">
        <f>'Servizi di Trasporto Dati'!M15</f>
        <v>0</v>
      </c>
      <c r="M13" s="300">
        <f>'Servizi di Trasporto Dati'!N15</f>
        <v>0</v>
      </c>
      <c r="N13" s="301">
        <f>IF($B13&lt;&gt;0,VLOOKUP($B13,Listini!$A$2:$AD$40,3,FALSE)*(1+IF($E13="Si",(Listini!$E$43-100)/100,0)+IF($G13="Si",(Listini!$E$45-100)/100,0)),0)</f>
        <v>0</v>
      </c>
      <c r="O13" s="301">
        <f>IF($B13&lt;&gt;0,(VLOOKUP($B13,Listini!$A$2:$AD$40,4,FALSE)+IF($C13="Si",Listini!$D$41,0)+IF($D13="Si",Listini!$D$42,0)+IF($H13&lt;&gt;0,VLOOKUP($H13,Listini!$A$51:$AD$54,4,FALSE),0))*(1+IF($E13="Si",(Listini!$F$43-100)/100,0)+IF($F13="Si",(Listini!$F$44-100)/100,0)+IF($G13="Si",(Listini!$F$45-100)/100,0))+$I13*Listini!$D$46+'Riepilogo Fabbisogni'!J13*Listini!$D$47+'Riepilogo Fabbisogni'!K13*Listini!$D$48+'Riepilogo Fabbisogni'!L13*Listini!$D$49+$M13*Listini!$D$50,0)</f>
        <v>0</v>
      </c>
      <c r="P13" s="301">
        <f>IF($B13&lt;&gt;0,VLOOKUP($B13,Listini!$A$2:$AD$40,7,FALSE)*(1+IF($E13="Si",(Listini!$I$43-100)/100,0)+IF($G13="Si",(Listini!$I$45-100)/100,0)),0)</f>
        <v>0</v>
      </c>
      <c r="Q13" s="301">
        <f>IF($B13&lt;&gt;0,(VLOOKUP($B13,Listini!$A$2:$AD$40,8,FALSE)+IF($C13="Si",Listini!$H$41,0)+IF($D13="Si",Listini!$H$42,0)+IF($H13&lt;&gt;0,VLOOKUP($H13,Listini!$A$51:$AD$54,8,FALSE),0))*(1+IF($E13="Si",(Listini!$J$43-100)/100,0)+IF($F13="Si",(Listini!$J$44-100)/100,0)+IF($G13="Si",(Listini!$J$45-100)/100,0))+$I13*Listini!$H$46+'Riepilogo Fabbisogni'!J13*Listini!$H$47+'Riepilogo Fabbisogni'!K13*Listini!$H$48+'Riepilogo Fabbisogni'!L13*Listini!$H$49+$M13*Listini!$H$50,0)</f>
        <v>0</v>
      </c>
      <c r="R13" s="301">
        <f>IF($B13&lt;&gt;0,VLOOKUP($B13,Listini!$A$2:$AD$40,11,FALSE)*(1+IF($E13="Si",(Listini!$M$43-100)/100,0)+IF($G13="Si",(Listini!$M$45-100)/100,0)),0)</f>
        <v>0</v>
      </c>
      <c r="S13" s="301">
        <f>IF($B13&lt;&gt;0,(VLOOKUP($B13,Listini!$A$2:$AD$40,12,FALSE)+IF($C13="Si",Listini!$L$41,0)+IF($D13="Si",Listini!$L$42,0)+IF($H13&lt;&gt;0,VLOOKUP($H13,Listini!$A$51:$AD$54,12,FALSE),0))*(1+IF($E13="Si",(Listini!$N$43-100)/100,0)+IF($F13="Si",(Listini!$N$44-100)/100,0)+IF($G13="Si",(Listini!$N$45-100)/100,0))+$I13*Listini!$L$46+'Riepilogo Fabbisogni'!J13*Listini!$L$47+'Riepilogo Fabbisogni'!K13*Listini!$L$48+'Riepilogo Fabbisogni'!L13*Listini!$L$49+$M13*Listini!$L$50,0)</f>
        <v>0</v>
      </c>
      <c r="T13" s="302">
        <f>IF($B13&lt;&gt;0,VLOOKUP($B13,Listini!$A$2:$AD$40,15,FALSE)*(1+IF($E13="Si",(Listini!$Q$43-100)/100,0)+IF($G13="Si",(Listini!$Q$45-100)/100,0)),0)</f>
        <v>0</v>
      </c>
      <c r="U13" s="302">
        <f>IF($B13&lt;&gt;0,(VLOOKUP($B13,Listini!$A$2:$AD$40,16,FALSE)+IF($C13="Si",Listini!$P$41,0)+IF($D13="Si",Listini!$P$42,0)+IF($H13&lt;&gt;0,VLOOKUP($H13,Listini!$A$51:$AD$54,16,FALSE),0))*(1+IF($E13="Si",(Listini!$R$43-100)/100,0)+IF($F13="Si",(Listini!$R$44-100)/100,0)+IF($G13="Si",(Listini!$R$45-100)/100,0))+$I13*Listini!$P$46+'Riepilogo Fabbisogni'!J13*Listini!$P$47+'Riepilogo Fabbisogni'!K13*Listini!$P$48+'Riepilogo Fabbisogni'!L13*Listini!$P$49+$M13*Listini!$P$50,0)</f>
        <v>0</v>
      </c>
      <c r="V13" s="302">
        <f>IF($B13&lt;&gt;0,VLOOKUP($B13,Listini!$A$2:$AD$40,19,FALSE)*(1+IF($E13="Si",(Listini!$U$43-100)/100,0)+IF($G13="Si",(Listini!$U$45-100)/100,0)),0)</f>
        <v>0</v>
      </c>
      <c r="W13" s="302">
        <f>IF($B13&lt;&gt;0,(VLOOKUP($B13,Listini!$A$2:$AD$40,20,FALSE)+IF($C13="Si",Listini!$T$41,0)+IF($D13="Si",Listini!$T$42,0)+IF($H13&lt;&gt;0,VLOOKUP($H13,Listini!$A$51:$AD$54,20,FALSE),0))*(1+IF($E13="Si",(Listini!$V$43-100)/100,0)+IF($F13="Si",(Listini!$V$44-100)/100,0)+IF($G13="Si",(Listini!$V$45-100)/100,0))+$I13*Listini!$T$46+'Riepilogo Fabbisogni'!J13*Listini!$T$47+'Riepilogo Fabbisogni'!K13*Listini!$T$48+'Riepilogo Fabbisogni'!L13*Listini!$T$49+$M13*Listini!$T$50,0)</f>
        <v>0</v>
      </c>
      <c r="X13" s="302">
        <f>IF($B13&lt;&gt;0,VLOOKUP($B13,Listini!$A$2:$AD$40,23,FALSE)*(1+IF($E13="Si",(Listini!$Y$43-100)/100,0)+IF($G13="Si",(Listini!$Y$45-100)/100,0)),0)</f>
        <v>0</v>
      </c>
      <c r="Y13" s="302">
        <f>IF($B13&lt;&gt;0,(VLOOKUP($B13,Listini!$A$2:$AD$40,24,FALSE)+IF($C13="Si",Listini!$X$41,0)+IF($D13="Si",Listini!$X$42,0)+IF($H13&lt;&gt;0,VLOOKUP($H13,Listini!$A$51:$AD$54,24,FALSE),0))*(1+IF($E13="Si",(Listini!$Z$43-100)/100,0)+IF($F13="Si",(Listini!$Z$44-100)/100,0)+IF($G13="Si",(Listini!$Z$45-100)/100,0))+$I13*Listini!$X$46+'Riepilogo Fabbisogni'!J13*Listini!$X$47+'Riepilogo Fabbisogni'!K13*Listini!$X$48+'Riepilogo Fabbisogni'!L13*Listini!$X$49+$M13*Listini!$X$50,0)</f>
        <v>0</v>
      </c>
      <c r="Z13" s="302">
        <f>IF($B13&lt;&gt;0,VLOOKUP($B13,Listini!$A$2:$AD$40,27,FALSE)*(1+IF($E13="Si",(Listini!$AC$43-100)/100,0)+IF($G13="Si",(Listini!$AC$45-100)/100,0)),0)</f>
        <v>0</v>
      </c>
      <c r="AA13" s="302">
        <f>IF($B13&lt;&gt;0,(VLOOKUP($B13,Listini!$A$2:$AD$40,28,FALSE)+IF($C13="Si",Listini!$AB$41,0)+IF($D13="Si",Listini!$AB$42,0)+IF($H13&lt;&gt;0,VLOOKUP($H13,Listini!$A$51:$AD$54,28,FALSE),0))*(1+IF($E13="Si",(Listini!$AD$43-100)/100,0)+IF($F13="Si",(Listini!$AD$44-100)/100,0)+IF($G13="Si",(Listini!$AD$45-100)/100,0))+$I13*Listini!$AB$46+'Riepilogo Fabbisogni'!J13*Listini!$AB$47+'Riepilogo Fabbisogni'!K13*Listini!$AB$48+'Riepilogo Fabbisogni'!L13*Listini!$AB$49+$M13*Listini!$AB$50,0)</f>
        <v>0</v>
      </c>
      <c r="AB13" s="302">
        <f>IF($B13&lt;&gt;0,VLOOKUP($B13,'Listino Offerta'!$A$3:$F$40,3,FALSE)*(1+IF($E13="Si",('Listino Offerta'!$E$43-100)/100,0)+IF($G13="Si",('Listino Offerta'!$E$45-100)/100,0)),0)</f>
        <v>0</v>
      </c>
      <c r="AC13" s="302">
        <f>IF($B13&lt;&gt;0,(VLOOKUP($B13,'Listino Offerta'!$A$2:$AD$40,4,FALSE)+IF($C13="Si",'Listino Offerta'!$D$41,0)+IF($D13="Si",'Listino Offerta'!$D$42,0)+IF($H13&lt;&gt;0,VLOOKUP($H13,'Listino Offerta'!$A$51:$AD$54,4,FALSE),0))*(1+IF($E13="Si",('Listino Offerta'!$F$43-100)/100,0)+IF($F13="Si",('Listino Offerta'!$F$44-100)/100,0)+IF($G13="Si",('Listino Offerta'!$F$45-100)/100,0))+$I13*'Listino Offerta'!$D$46+'Riepilogo Fabbisogni'!J13*'Listino Offerta'!$D$47+'Riepilogo Fabbisogni'!K13*'Listino Offerta'!$D$48+'Riepilogo Fabbisogni'!L13*'Listino Offerta'!$D$49+$M13*'Listino Offerta'!$D$50,0)</f>
        <v>0</v>
      </c>
    </row>
    <row r="14" spans="1:29" s="302" customFormat="1" ht="12" customHeight="1">
      <c r="A14" s="298">
        <v>12</v>
      </c>
      <c r="B14" s="299">
        <f>'Servizi di Trasporto Dati'!D16</f>
        <v>0</v>
      </c>
      <c r="C14" s="299">
        <f>'Servizi di Trasporto Dati'!E16</f>
        <v>0</v>
      </c>
      <c r="D14" s="299">
        <f>'Servizi di Trasporto Dati'!F16</f>
        <v>0</v>
      </c>
      <c r="E14" s="299">
        <f>IF(AND('Servizi di Trasporto Dati'!G16="Si",'Servizi di Trasporto Dati'!H16&lt;&gt;"Si"),"Si","")</f>
      </c>
      <c r="F14" s="299">
        <f>IF(AND('Servizi di Trasporto Dati'!G16&lt;&gt;"Si",'Servizi di Trasporto Dati'!H16="Si"),"Si","")</f>
      </c>
      <c r="G14" s="299">
        <f>IF(AND('Servizi di Trasporto Dati'!G16="Si",'Servizi di Trasporto Dati'!H16="Si"),"Si","")</f>
      </c>
      <c r="H14" s="299">
        <f>'Servizi di Trasporto Dati'!I16</f>
        <v>0</v>
      </c>
      <c r="I14" s="299">
        <f>'Servizi di Trasporto Dati'!J16</f>
        <v>0</v>
      </c>
      <c r="J14" s="299">
        <f>'Servizi di Trasporto Dati'!K16</f>
        <v>0</v>
      </c>
      <c r="K14" s="299">
        <f>'Servizi di Trasporto Dati'!L16</f>
        <v>0</v>
      </c>
      <c r="L14" s="299">
        <f>'Servizi di Trasporto Dati'!M16</f>
        <v>0</v>
      </c>
      <c r="M14" s="300">
        <f>'Servizi di Trasporto Dati'!N16</f>
        <v>0</v>
      </c>
      <c r="N14" s="301">
        <f>IF($B14&lt;&gt;0,VLOOKUP($B14,Listini!$A$2:$AD$40,3,FALSE)*(1+IF($E14="Si",(Listini!$E$43-100)/100,0)+IF($G14="Si",(Listini!$E$45-100)/100,0)),0)</f>
        <v>0</v>
      </c>
      <c r="O14" s="301">
        <f>IF($B14&lt;&gt;0,(VLOOKUP($B14,Listini!$A$2:$AD$40,4,FALSE)+IF($C14="Si",Listini!$D$41,0)+IF($D14="Si",Listini!$D$42,0)+IF($H14&lt;&gt;0,VLOOKUP($H14,Listini!$A$51:$AD$54,4,FALSE),0))*(1+IF($E14="Si",(Listini!$F$43-100)/100,0)+IF($F14="Si",(Listini!$F$44-100)/100,0)+IF($G14="Si",(Listini!$F$45-100)/100,0))+$I14*Listini!$D$46+'Riepilogo Fabbisogni'!J14*Listini!$D$47+'Riepilogo Fabbisogni'!K14*Listini!$D$48+'Riepilogo Fabbisogni'!L14*Listini!$D$49+$M14*Listini!$D$50,0)</f>
        <v>0</v>
      </c>
      <c r="P14" s="301">
        <f>IF($B14&lt;&gt;0,VLOOKUP($B14,Listini!$A$2:$AD$40,7,FALSE)*(1+IF($E14="Si",(Listini!$I$43-100)/100,0)+IF($G14="Si",(Listini!$I$45-100)/100,0)),0)</f>
        <v>0</v>
      </c>
      <c r="Q14" s="301">
        <f>IF($B14&lt;&gt;0,(VLOOKUP($B14,Listini!$A$2:$AD$40,8,FALSE)+IF($C14="Si",Listini!$H$41,0)+IF($D14="Si",Listini!$H$42,0)+IF($H14&lt;&gt;0,VLOOKUP($H14,Listini!$A$51:$AD$54,8,FALSE),0))*(1+IF($E14="Si",(Listini!$J$43-100)/100,0)+IF($F14="Si",(Listini!$J$44-100)/100,0)+IF($G14="Si",(Listini!$J$45-100)/100,0))+$I14*Listini!$H$46+'Riepilogo Fabbisogni'!J14*Listini!$H$47+'Riepilogo Fabbisogni'!K14*Listini!$H$48+'Riepilogo Fabbisogni'!L14*Listini!$H$49+$M14*Listini!$H$50,0)</f>
        <v>0</v>
      </c>
      <c r="R14" s="301">
        <f>IF($B14&lt;&gt;0,VLOOKUP($B14,Listini!$A$2:$AD$40,11,FALSE)*(1+IF($E14="Si",(Listini!$M$43-100)/100,0)+IF($G14="Si",(Listini!$M$45-100)/100,0)),0)</f>
        <v>0</v>
      </c>
      <c r="S14" s="301">
        <f>IF($B14&lt;&gt;0,(VLOOKUP($B14,Listini!$A$2:$AD$40,12,FALSE)+IF($C14="Si",Listini!$L$41,0)+IF($D14="Si",Listini!$L$42,0)+IF($H14&lt;&gt;0,VLOOKUP($H14,Listini!$A$51:$AD$54,12,FALSE),0))*(1+IF($E14="Si",(Listini!$N$43-100)/100,0)+IF($F14="Si",(Listini!$N$44-100)/100,0)+IF($G14="Si",(Listini!$N$45-100)/100,0))+$I14*Listini!$L$46+'Riepilogo Fabbisogni'!J14*Listini!$L$47+'Riepilogo Fabbisogni'!K14*Listini!$L$48+'Riepilogo Fabbisogni'!L14*Listini!$L$49+$M14*Listini!$L$50,0)</f>
        <v>0</v>
      </c>
      <c r="T14" s="302">
        <f>IF($B14&lt;&gt;0,VLOOKUP($B14,Listini!$A$2:$AD$40,15,FALSE)*(1+IF($E14="Si",(Listini!$Q$43-100)/100,0)+IF($G14="Si",(Listini!$Q$45-100)/100,0)),0)</f>
        <v>0</v>
      </c>
      <c r="U14" s="302">
        <f>IF($B14&lt;&gt;0,(VLOOKUP($B14,Listini!$A$2:$AD$40,16,FALSE)+IF($C14="Si",Listini!$P$41,0)+IF($D14="Si",Listini!$P$42,0)+IF($H14&lt;&gt;0,VLOOKUP($H14,Listini!$A$51:$AD$54,16,FALSE),0))*(1+IF($E14="Si",(Listini!$R$43-100)/100,0)+IF($F14="Si",(Listini!$R$44-100)/100,0)+IF($G14="Si",(Listini!$R$45-100)/100,0))+$I14*Listini!$P$46+'Riepilogo Fabbisogni'!J14*Listini!$P$47+'Riepilogo Fabbisogni'!K14*Listini!$P$48+'Riepilogo Fabbisogni'!L14*Listini!$P$49+$M14*Listini!$P$50,0)</f>
        <v>0</v>
      </c>
      <c r="V14" s="302">
        <f>IF($B14&lt;&gt;0,VLOOKUP($B14,Listini!$A$2:$AD$40,19,FALSE)*(1+IF($E14="Si",(Listini!$U$43-100)/100,0)+IF($G14="Si",(Listini!$U$45-100)/100,0)),0)</f>
        <v>0</v>
      </c>
      <c r="W14" s="302">
        <f>IF($B14&lt;&gt;0,(VLOOKUP($B14,Listini!$A$2:$AD$40,20,FALSE)+IF($C14="Si",Listini!$T$41,0)+IF($D14="Si",Listini!$T$42,0)+IF($H14&lt;&gt;0,VLOOKUP($H14,Listini!$A$51:$AD$54,20,FALSE),0))*(1+IF($E14="Si",(Listini!$V$43-100)/100,0)+IF($F14="Si",(Listini!$V$44-100)/100,0)+IF($G14="Si",(Listini!$V$45-100)/100,0))+$I14*Listini!$T$46+'Riepilogo Fabbisogni'!J14*Listini!$T$47+'Riepilogo Fabbisogni'!K14*Listini!$T$48+'Riepilogo Fabbisogni'!L14*Listini!$T$49+$M14*Listini!$T$50,0)</f>
        <v>0</v>
      </c>
      <c r="X14" s="302">
        <f>IF($B14&lt;&gt;0,VLOOKUP($B14,Listini!$A$2:$AD$40,23,FALSE)*(1+IF($E14="Si",(Listini!$Y$43-100)/100,0)+IF($G14="Si",(Listini!$Y$45-100)/100,0)),0)</f>
        <v>0</v>
      </c>
      <c r="Y14" s="302">
        <f>IF($B14&lt;&gt;0,(VLOOKUP($B14,Listini!$A$2:$AD$40,24,FALSE)+IF($C14="Si",Listini!$X$41,0)+IF($D14="Si",Listini!$X$42,0)+IF($H14&lt;&gt;0,VLOOKUP($H14,Listini!$A$51:$AD$54,24,FALSE),0))*(1+IF($E14="Si",(Listini!$Z$43-100)/100,0)+IF($F14="Si",(Listini!$Z$44-100)/100,0)+IF($G14="Si",(Listini!$Z$45-100)/100,0))+$I14*Listini!$X$46+'Riepilogo Fabbisogni'!J14*Listini!$X$47+'Riepilogo Fabbisogni'!K14*Listini!$X$48+'Riepilogo Fabbisogni'!L14*Listini!$X$49+$M14*Listini!$X$50,0)</f>
        <v>0</v>
      </c>
      <c r="Z14" s="302">
        <f>IF($B14&lt;&gt;0,VLOOKUP($B14,Listini!$A$2:$AD$40,27,FALSE)*(1+IF($E14="Si",(Listini!$AC$43-100)/100,0)+IF($G14="Si",(Listini!$AC$45-100)/100,0)),0)</f>
        <v>0</v>
      </c>
      <c r="AA14" s="302">
        <f>IF($B14&lt;&gt;0,(VLOOKUP($B14,Listini!$A$2:$AD$40,28,FALSE)+IF($C14="Si",Listini!$AB$41,0)+IF($D14="Si",Listini!$AB$42,0)+IF($H14&lt;&gt;0,VLOOKUP($H14,Listini!$A$51:$AD$54,28,FALSE),0))*(1+IF($E14="Si",(Listini!$AD$43-100)/100,0)+IF($F14="Si",(Listini!$AD$44-100)/100,0)+IF($G14="Si",(Listini!$AD$45-100)/100,0))+$I14*Listini!$AB$46+'Riepilogo Fabbisogni'!J14*Listini!$AB$47+'Riepilogo Fabbisogni'!K14*Listini!$AB$48+'Riepilogo Fabbisogni'!L14*Listini!$AB$49+$M14*Listini!$AB$50,0)</f>
        <v>0</v>
      </c>
      <c r="AB14" s="302">
        <f>IF($B14&lt;&gt;0,VLOOKUP($B14,'Listino Offerta'!$A$3:$F$40,3,FALSE)*(1+IF($E14="Si",('Listino Offerta'!$E$43-100)/100,0)+IF($G14="Si",('Listino Offerta'!$E$45-100)/100,0)),0)</f>
        <v>0</v>
      </c>
      <c r="AC14" s="302">
        <f>IF($B14&lt;&gt;0,(VLOOKUP($B14,'Listino Offerta'!$A$2:$AD$40,4,FALSE)+IF($C14="Si",'Listino Offerta'!$D$41,0)+IF($D14="Si",'Listino Offerta'!$D$42,0)+IF($H14&lt;&gt;0,VLOOKUP($H14,'Listino Offerta'!$A$51:$AD$54,4,FALSE),0))*(1+IF($E14="Si",('Listino Offerta'!$F$43-100)/100,0)+IF($F14="Si",('Listino Offerta'!$F$44-100)/100,0)+IF($G14="Si",('Listino Offerta'!$F$45-100)/100,0))+$I14*'Listino Offerta'!$D$46+'Riepilogo Fabbisogni'!J14*'Listino Offerta'!$D$47+'Riepilogo Fabbisogni'!K14*'Listino Offerta'!$D$48+'Riepilogo Fabbisogni'!L14*'Listino Offerta'!$D$49+$M14*'Listino Offerta'!$D$50,0)</f>
        <v>0</v>
      </c>
    </row>
    <row r="15" spans="1:29" s="302" customFormat="1" ht="12" customHeight="1">
      <c r="A15" s="298">
        <v>13</v>
      </c>
      <c r="B15" s="299">
        <f>'Servizi di Trasporto Dati'!D17</f>
        <v>0</v>
      </c>
      <c r="C15" s="299">
        <f>'Servizi di Trasporto Dati'!E17</f>
        <v>0</v>
      </c>
      <c r="D15" s="299">
        <f>'Servizi di Trasporto Dati'!F17</f>
        <v>0</v>
      </c>
      <c r="E15" s="299">
        <f>IF(AND('Servizi di Trasporto Dati'!G17="Si",'Servizi di Trasporto Dati'!H17&lt;&gt;"Si"),"Si","")</f>
      </c>
      <c r="F15" s="299">
        <f>IF(AND('Servizi di Trasporto Dati'!G17&lt;&gt;"Si",'Servizi di Trasporto Dati'!H17="Si"),"Si","")</f>
      </c>
      <c r="G15" s="299">
        <f>IF(AND('Servizi di Trasporto Dati'!G17="Si",'Servizi di Trasporto Dati'!H17="Si"),"Si","")</f>
      </c>
      <c r="H15" s="299">
        <f>'Servizi di Trasporto Dati'!I17</f>
        <v>0</v>
      </c>
      <c r="I15" s="299">
        <f>'Servizi di Trasporto Dati'!J17</f>
        <v>0</v>
      </c>
      <c r="J15" s="299">
        <f>'Servizi di Trasporto Dati'!K17</f>
        <v>0</v>
      </c>
      <c r="K15" s="299">
        <f>'Servizi di Trasporto Dati'!L17</f>
        <v>0</v>
      </c>
      <c r="L15" s="299">
        <f>'Servizi di Trasporto Dati'!M17</f>
        <v>0</v>
      </c>
      <c r="M15" s="300">
        <f>'Servizi di Trasporto Dati'!N17</f>
        <v>0</v>
      </c>
      <c r="N15" s="301">
        <f>IF($B15&lt;&gt;0,VLOOKUP($B15,Listini!$A$2:$AD$40,3,FALSE)*(1+IF($E15="Si",(Listini!$E$43-100)/100,0)+IF($G15="Si",(Listini!$E$45-100)/100,0)),0)</f>
        <v>0</v>
      </c>
      <c r="O15" s="301">
        <f>IF($B15&lt;&gt;0,(VLOOKUP($B15,Listini!$A$2:$AD$40,4,FALSE)+IF($C15="Si",Listini!$D$41,0)+IF($D15="Si",Listini!$D$42,0)+IF($H15&lt;&gt;0,VLOOKUP($H15,Listini!$A$51:$AD$54,4,FALSE),0))*(1+IF($E15="Si",(Listini!$F$43-100)/100,0)+IF($F15="Si",(Listini!$F$44-100)/100,0)+IF($G15="Si",(Listini!$F$45-100)/100,0))+$I15*Listini!$D$46+'Riepilogo Fabbisogni'!J15*Listini!$D$47+'Riepilogo Fabbisogni'!K15*Listini!$D$48+'Riepilogo Fabbisogni'!L15*Listini!$D$49+$M15*Listini!$D$50,0)</f>
        <v>0</v>
      </c>
      <c r="P15" s="301">
        <f>IF($B15&lt;&gt;0,VLOOKUP($B15,Listini!$A$2:$AD$40,7,FALSE)*(1+IF($E15="Si",(Listini!$I$43-100)/100,0)+IF($G15="Si",(Listini!$I$45-100)/100,0)),0)</f>
        <v>0</v>
      </c>
      <c r="Q15" s="301">
        <f>IF($B15&lt;&gt;0,(VLOOKUP($B15,Listini!$A$2:$AD$40,8,FALSE)+IF($C15="Si",Listini!$H$41,0)+IF($D15="Si",Listini!$H$42,0)+IF($H15&lt;&gt;0,VLOOKUP($H15,Listini!$A$51:$AD$54,8,FALSE),0))*(1+IF($E15="Si",(Listini!$J$43-100)/100,0)+IF($F15="Si",(Listini!$J$44-100)/100,0)+IF($G15="Si",(Listini!$J$45-100)/100,0))+$I15*Listini!$H$46+'Riepilogo Fabbisogni'!J15*Listini!$H$47+'Riepilogo Fabbisogni'!K15*Listini!$H$48+'Riepilogo Fabbisogni'!L15*Listini!$H$49+$M15*Listini!$H$50,0)</f>
        <v>0</v>
      </c>
      <c r="R15" s="301">
        <f>IF($B15&lt;&gt;0,VLOOKUP($B15,Listini!$A$2:$AD$40,11,FALSE)*(1+IF($E15="Si",(Listini!$M$43-100)/100,0)+IF($G15="Si",(Listini!$M$45-100)/100,0)),0)</f>
        <v>0</v>
      </c>
      <c r="S15" s="301">
        <f>IF($B15&lt;&gt;0,(VLOOKUP($B15,Listini!$A$2:$AD$40,12,FALSE)+IF($C15="Si",Listini!$L$41,0)+IF($D15="Si",Listini!$L$42,0)+IF($H15&lt;&gt;0,VLOOKUP($H15,Listini!$A$51:$AD$54,12,FALSE),0))*(1+IF($E15="Si",(Listini!$N$43-100)/100,0)+IF($F15="Si",(Listini!$N$44-100)/100,0)+IF($G15="Si",(Listini!$N$45-100)/100,0))+$I15*Listini!$L$46+'Riepilogo Fabbisogni'!J15*Listini!$L$47+'Riepilogo Fabbisogni'!K15*Listini!$L$48+'Riepilogo Fabbisogni'!L15*Listini!$L$49+$M15*Listini!$L$50,0)</f>
        <v>0</v>
      </c>
      <c r="T15" s="302">
        <f>IF($B15&lt;&gt;0,VLOOKUP($B15,Listini!$A$2:$AD$40,15,FALSE)*(1+IF($E15="Si",(Listini!$Q$43-100)/100,0)+IF($G15="Si",(Listini!$Q$45-100)/100,0)),0)</f>
        <v>0</v>
      </c>
      <c r="U15" s="302">
        <f>IF($B15&lt;&gt;0,(VLOOKUP($B15,Listini!$A$2:$AD$40,16,FALSE)+IF($C15="Si",Listini!$P$41,0)+IF($D15="Si",Listini!$P$42,0)+IF($H15&lt;&gt;0,VLOOKUP($H15,Listini!$A$51:$AD$54,16,FALSE),0))*(1+IF($E15="Si",(Listini!$R$43-100)/100,0)+IF($F15="Si",(Listini!$R$44-100)/100,0)+IF($G15="Si",(Listini!$R$45-100)/100,0))+$I15*Listini!$P$46+'Riepilogo Fabbisogni'!J15*Listini!$P$47+'Riepilogo Fabbisogni'!K15*Listini!$P$48+'Riepilogo Fabbisogni'!L15*Listini!$P$49+$M15*Listini!$P$50,0)</f>
        <v>0</v>
      </c>
      <c r="V15" s="302">
        <f>IF($B15&lt;&gt;0,VLOOKUP($B15,Listini!$A$2:$AD$40,19,FALSE)*(1+IF($E15="Si",(Listini!$U$43-100)/100,0)+IF($G15="Si",(Listini!$U$45-100)/100,0)),0)</f>
        <v>0</v>
      </c>
      <c r="W15" s="302">
        <f>IF($B15&lt;&gt;0,(VLOOKUP($B15,Listini!$A$2:$AD$40,20,FALSE)+IF($C15="Si",Listini!$T$41,0)+IF($D15="Si",Listini!$T$42,0)+IF($H15&lt;&gt;0,VLOOKUP($H15,Listini!$A$51:$AD$54,20,FALSE),0))*(1+IF($E15="Si",(Listini!$V$43-100)/100,0)+IF($F15="Si",(Listini!$V$44-100)/100,0)+IF($G15="Si",(Listini!$V$45-100)/100,0))+$I15*Listini!$T$46+'Riepilogo Fabbisogni'!J15*Listini!$T$47+'Riepilogo Fabbisogni'!K15*Listini!$T$48+'Riepilogo Fabbisogni'!L15*Listini!$T$49+$M15*Listini!$T$50,0)</f>
        <v>0</v>
      </c>
      <c r="X15" s="302">
        <f>IF($B15&lt;&gt;0,VLOOKUP($B15,Listini!$A$2:$AD$40,23,FALSE)*(1+IF($E15="Si",(Listini!$Y$43-100)/100,0)+IF($G15="Si",(Listini!$Y$45-100)/100,0)),0)</f>
        <v>0</v>
      </c>
      <c r="Y15" s="302">
        <f>IF($B15&lt;&gt;0,(VLOOKUP($B15,Listini!$A$2:$AD$40,24,FALSE)+IF($C15="Si",Listini!$X$41,0)+IF($D15="Si",Listini!$X$42,0)+IF($H15&lt;&gt;0,VLOOKUP($H15,Listini!$A$51:$AD$54,24,FALSE),0))*(1+IF($E15="Si",(Listini!$Z$43-100)/100,0)+IF($F15="Si",(Listini!$Z$44-100)/100,0)+IF($G15="Si",(Listini!$Z$45-100)/100,0))+$I15*Listini!$X$46+'Riepilogo Fabbisogni'!J15*Listini!$X$47+'Riepilogo Fabbisogni'!K15*Listini!$X$48+'Riepilogo Fabbisogni'!L15*Listini!$X$49+$M15*Listini!$X$50,0)</f>
        <v>0</v>
      </c>
      <c r="Z15" s="302">
        <f>IF($B15&lt;&gt;0,VLOOKUP($B15,Listini!$A$2:$AD$40,27,FALSE)*(1+IF($E15="Si",(Listini!$AC$43-100)/100,0)+IF($G15="Si",(Listini!$AC$45-100)/100,0)),0)</f>
        <v>0</v>
      </c>
      <c r="AA15" s="302">
        <f>IF($B15&lt;&gt;0,(VLOOKUP($B15,Listini!$A$2:$AD$40,28,FALSE)+IF($C15="Si",Listini!$AB$41,0)+IF($D15="Si",Listini!$AB$42,0)+IF($H15&lt;&gt;0,VLOOKUP($H15,Listini!$A$51:$AD$54,28,FALSE),0))*(1+IF($E15="Si",(Listini!$AD$43-100)/100,0)+IF($F15="Si",(Listini!$AD$44-100)/100,0)+IF($G15="Si",(Listini!$AD$45-100)/100,0))+$I15*Listini!$AB$46+'Riepilogo Fabbisogni'!J15*Listini!$AB$47+'Riepilogo Fabbisogni'!K15*Listini!$AB$48+'Riepilogo Fabbisogni'!L15*Listini!$AB$49+$M15*Listini!$AB$50,0)</f>
        <v>0</v>
      </c>
      <c r="AB15" s="302">
        <f>IF($B15&lt;&gt;0,VLOOKUP($B15,'Listino Offerta'!$A$3:$F$40,3,FALSE)*(1+IF($E15="Si",('Listino Offerta'!$E$43-100)/100,0)+IF($G15="Si",('Listino Offerta'!$E$45-100)/100,0)),0)</f>
        <v>0</v>
      </c>
      <c r="AC15" s="302">
        <f>IF($B15&lt;&gt;0,(VLOOKUP($B15,'Listino Offerta'!$A$2:$AD$40,4,FALSE)+IF($C15="Si",'Listino Offerta'!$D$41,0)+IF($D15="Si",'Listino Offerta'!$D$42,0)+IF($H15&lt;&gt;0,VLOOKUP($H15,'Listino Offerta'!$A$51:$AD$54,4,FALSE),0))*(1+IF($E15="Si",('Listino Offerta'!$F$43-100)/100,0)+IF($F15="Si",('Listino Offerta'!$F$44-100)/100,0)+IF($G15="Si",('Listino Offerta'!$F$45-100)/100,0))+$I15*'Listino Offerta'!$D$46+'Riepilogo Fabbisogni'!J15*'Listino Offerta'!$D$47+'Riepilogo Fabbisogni'!K15*'Listino Offerta'!$D$48+'Riepilogo Fabbisogni'!L15*'Listino Offerta'!$D$49+$M15*'Listino Offerta'!$D$50,0)</f>
        <v>0</v>
      </c>
    </row>
    <row r="16" spans="1:29" s="302" customFormat="1" ht="12" customHeight="1">
      <c r="A16" s="298">
        <v>14</v>
      </c>
      <c r="B16" s="299">
        <f>'Servizi di Trasporto Dati'!D18</f>
        <v>0</v>
      </c>
      <c r="C16" s="299">
        <f>'Servizi di Trasporto Dati'!E18</f>
        <v>0</v>
      </c>
      <c r="D16" s="299">
        <f>'Servizi di Trasporto Dati'!F18</f>
        <v>0</v>
      </c>
      <c r="E16" s="299">
        <f>IF(AND('Servizi di Trasporto Dati'!G18="Si",'Servizi di Trasporto Dati'!H18&lt;&gt;"Si"),"Si","")</f>
      </c>
      <c r="F16" s="299">
        <f>IF(AND('Servizi di Trasporto Dati'!G18&lt;&gt;"Si",'Servizi di Trasporto Dati'!H18="Si"),"Si","")</f>
      </c>
      <c r="G16" s="299">
        <f>IF(AND('Servizi di Trasporto Dati'!G18="Si",'Servizi di Trasporto Dati'!H18="Si"),"Si","")</f>
      </c>
      <c r="H16" s="299">
        <f>'Servizi di Trasporto Dati'!I18</f>
        <v>0</v>
      </c>
      <c r="I16" s="299">
        <f>'Servizi di Trasporto Dati'!J18</f>
        <v>0</v>
      </c>
      <c r="J16" s="299">
        <f>'Servizi di Trasporto Dati'!K18</f>
        <v>0</v>
      </c>
      <c r="K16" s="299">
        <f>'Servizi di Trasporto Dati'!L18</f>
        <v>0</v>
      </c>
      <c r="L16" s="299">
        <f>'Servizi di Trasporto Dati'!M18</f>
        <v>0</v>
      </c>
      <c r="M16" s="300">
        <f>'Servizi di Trasporto Dati'!N18</f>
        <v>0</v>
      </c>
      <c r="N16" s="301">
        <f>IF($B16&lt;&gt;0,VLOOKUP($B16,Listini!$A$2:$AD$40,3,FALSE)*(1+IF($E16="Si",(Listini!$E$43-100)/100,0)+IF($G16="Si",(Listini!$E$45-100)/100,0)),0)</f>
        <v>0</v>
      </c>
      <c r="O16" s="301">
        <f>IF($B16&lt;&gt;0,(VLOOKUP($B16,Listini!$A$2:$AD$40,4,FALSE)+IF($C16="Si",Listini!$D$41,0)+IF($D16="Si",Listini!$D$42,0)+IF($H16&lt;&gt;0,VLOOKUP($H16,Listini!$A$51:$AD$54,4,FALSE),0))*(1+IF($E16="Si",(Listini!$F$43-100)/100,0)+IF($F16="Si",(Listini!$F$44-100)/100,0)+IF($G16="Si",(Listini!$F$45-100)/100,0))+$I16*Listini!$D$46+'Riepilogo Fabbisogni'!J16*Listini!$D$47+'Riepilogo Fabbisogni'!K16*Listini!$D$48+'Riepilogo Fabbisogni'!L16*Listini!$D$49+$M16*Listini!$D$50,0)</f>
        <v>0</v>
      </c>
      <c r="P16" s="301">
        <f>IF($B16&lt;&gt;0,VLOOKUP($B16,Listini!$A$2:$AD$40,7,FALSE)*(1+IF($E16="Si",(Listini!$I$43-100)/100,0)+IF($G16="Si",(Listini!$I$45-100)/100,0)),0)</f>
        <v>0</v>
      </c>
      <c r="Q16" s="301">
        <f>IF($B16&lt;&gt;0,(VLOOKUP($B16,Listini!$A$2:$AD$40,8,FALSE)+IF($C16="Si",Listini!$H$41,0)+IF($D16="Si",Listini!$H$42,0)+IF($H16&lt;&gt;0,VLOOKUP($H16,Listini!$A$51:$AD$54,8,FALSE),0))*(1+IF($E16="Si",(Listini!$J$43-100)/100,0)+IF($F16="Si",(Listini!$J$44-100)/100,0)+IF($G16="Si",(Listini!$J$45-100)/100,0))+$I16*Listini!$H$46+'Riepilogo Fabbisogni'!J16*Listini!$H$47+'Riepilogo Fabbisogni'!K16*Listini!$H$48+'Riepilogo Fabbisogni'!L16*Listini!$H$49+$M16*Listini!$H$50,0)</f>
        <v>0</v>
      </c>
      <c r="R16" s="301">
        <f>IF($B16&lt;&gt;0,VLOOKUP($B16,Listini!$A$2:$AD$40,11,FALSE)*(1+IF($E16="Si",(Listini!$M$43-100)/100,0)+IF($G16="Si",(Listini!$M$45-100)/100,0)),0)</f>
        <v>0</v>
      </c>
      <c r="S16" s="301">
        <f>IF($B16&lt;&gt;0,(VLOOKUP($B16,Listini!$A$2:$AD$40,12,FALSE)+IF($C16="Si",Listini!$L$41,0)+IF($D16="Si",Listini!$L$42,0)+IF($H16&lt;&gt;0,VLOOKUP($H16,Listini!$A$51:$AD$54,12,FALSE),0))*(1+IF($E16="Si",(Listini!$N$43-100)/100,0)+IF($F16="Si",(Listini!$N$44-100)/100,0)+IF($G16="Si",(Listini!$N$45-100)/100,0))+$I16*Listini!$L$46+'Riepilogo Fabbisogni'!J16*Listini!$L$47+'Riepilogo Fabbisogni'!K16*Listini!$L$48+'Riepilogo Fabbisogni'!L16*Listini!$L$49+$M16*Listini!$L$50,0)</f>
        <v>0</v>
      </c>
      <c r="T16" s="302">
        <f>IF($B16&lt;&gt;0,VLOOKUP($B16,Listini!$A$2:$AD$40,15,FALSE)*(1+IF($E16="Si",(Listini!$Q$43-100)/100,0)+IF($G16="Si",(Listini!$Q$45-100)/100,0)),0)</f>
        <v>0</v>
      </c>
      <c r="U16" s="302">
        <f>IF($B16&lt;&gt;0,(VLOOKUP($B16,Listini!$A$2:$AD$40,16,FALSE)+IF($C16="Si",Listini!$P$41,0)+IF($D16="Si",Listini!$P$42,0)+IF($H16&lt;&gt;0,VLOOKUP($H16,Listini!$A$51:$AD$54,16,FALSE),0))*(1+IF($E16="Si",(Listini!$R$43-100)/100,0)+IF($F16="Si",(Listini!$R$44-100)/100,0)+IF($G16="Si",(Listini!$R$45-100)/100,0))+$I16*Listini!$P$46+'Riepilogo Fabbisogni'!J16*Listini!$P$47+'Riepilogo Fabbisogni'!K16*Listini!$P$48+'Riepilogo Fabbisogni'!L16*Listini!$P$49+$M16*Listini!$P$50,0)</f>
        <v>0</v>
      </c>
      <c r="V16" s="302">
        <f>IF($B16&lt;&gt;0,VLOOKUP($B16,Listini!$A$2:$AD$40,19,FALSE)*(1+IF($E16="Si",(Listini!$U$43-100)/100,0)+IF($G16="Si",(Listini!$U$45-100)/100,0)),0)</f>
        <v>0</v>
      </c>
      <c r="W16" s="302">
        <f>IF($B16&lt;&gt;0,(VLOOKUP($B16,Listini!$A$2:$AD$40,20,FALSE)+IF($C16="Si",Listini!$T$41,0)+IF($D16="Si",Listini!$T$42,0)+IF($H16&lt;&gt;0,VLOOKUP($H16,Listini!$A$51:$AD$54,20,FALSE),0))*(1+IF($E16="Si",(Listini!$V$43-100)/100,0)+IF($F16="Si",(Listini!$V$44-100)/100,0)+IF($G16="Si",(Listini!$V$45-100)/100,0))+$I16*Listini!$T$46+'Riepilogo Fabbisogni'!J16*Listini!$T$47+'Riepilogo Fabbisogni'!K16*Listini!$T$48+'Riepilogo Fabbisogni'!L16*Listini!$T$49+$M16*Listini!$T$50,0)</f>
        <v>0</v>
      </c>
      <c r="X16" s="302">
        <f>IF($B16&lt;&gt;0,VLOOKUP($B16,Listini!$A$2:$AD$40,23,FALSE)*(1+IF($E16="Si",(Listini!$Y$43-100)/100,0)+IF($G16="Si",(Listini!$Y$45-100)/100,0)),0)</f>
        <v>0</v>
      </c>
      <c r="Y16" s="302">
        <f>IF($B16&lt;&gt;0,(VLOOKUP($B16,Listini!$A$2:$AD$40,24,FALSE)+IF($C16="Si",Listini!$X$41,0)+IF($D16="Si",Listini!$X$42,0)+IF($H16&lt;&gt;0,VLOOKUP($H16,Listini!$A$51:$AD$54,24,FALSE),0))*(1+IF($E16="Si",(Listini!$Z$43-100)/100,0)+IF($F16="Si",(Listini!$Z$44-100)/100,0)+IF($G16="Si",(Listini!$Z$45-100)/100,0))+$I16*Listini!$X$46+'Riepilogo Fabbisogni'!J16*Listini!$X$47+'Riepilogo Fabbisogni'!K16*Listini!$X$48+'Riepilogo Fabbisogni'!L16*Listini!$X$49+$M16*Listini!$X$50,0)</f>
        <v>0</v>
      </c>
      <c r="Z16" s="302">
        <f>IF($B16&lt;&gt;0,VLOOKUP($B16,Listini!$A$2:$AD$40,27,FALSE)*(1+IF($E16="Si",(Listini!$AC$43-100)/100,0)+IF($G16="Si",(Listini!$AC$45-100)/100,0)),0)</f>
        <v>0</v>
      </c>
      <c r="AA16" s="302">
        <f>IF($B16&lt;&gt;0,(VLOOKUP($B16,Listini!$A$2:$AD$40,28,FALSE)+IF($C16="Si",Listini!$AB$41,0)+IF($D16="Si",Listini!$AB$42,0)+IF($H16&lt;&gt;0,VLOOKUP($H16,Listini!$A$51:$AD$54,28,FALSE),0))*(1+IF($E16="Si",(Listini!$AD$43-100)/100,0)+IF($F16="Si",(Listini!$AD$44-100)/100,0)+IF($G16="Si",(Listini!$AD$45-100)/100,0))+$I16*Listini!$AB$46+'Riepilogo Fabbisogni'!J16*Listini!$AB$47+'Riepilogo Fabbisogni'!K16*Listini!$AB$48+'Riepilogo Fabbisogni'!L16*Listini!$AB$49+$M16*Listini!$AB$50,0)</f>
        <v>0</v>
      </c>
      <c r="AB16" s="302">
        <f>IF($B16&lt;&gt;0,VLOOKUP($B16,'Listino Offerta'!$A$3:$F$40,3,FALSE)*(1+IF($E16="Si",('Listino Offerta'!$E$43-100)/100,0)+IF($G16="Si",('Listino Offerta'!$E$45-100)/100,0)),0)</f>
        <v>0</v>
      </c>
      <c r="AC16" s="302">
        <f>IF($B16&lt;&gt;0,(VLOOKUP($B16,'Listino Offerta'!$A$2:$AD$40,4,FALSE)+IF($C16="Si",'Listino Offerta'!$D$41,0)+IF($D16="Si",'Listino Offerta'!$D$42,0)+IF($H16&lt;&gt;0,VLOOKUP($H16,'Listino Offerta'!$A$51:$AD$54,4,FALSE),0))*(1+IF($E16="Si",('Listino Offerta'!$F$43-100)/100,0)+IF($F16="Si",('Listino Offerta'!$F$44-100)/100,0)+IF($G16="Si",('Listino Offerta'!$F$45-100)/100,0))+$I16*'Listino Offerta'!$D$46+'Riepilogo Fabbisogni'!J16*'Listino Offerta'!$D$47+'Riepilogo Fabbisogni'!K16*'Listino Offerta'!$D$48+'Riepilogo Fabbisogni'!L16*'Listino Offerta'!$D$49+$M16*'Listino Offerta'!$D$50,0)</f>
        <v>0</v>
      </c>
    </row>
    <row r="17" spans="1:29" s="302" customFormat="1" ht="12" customHeight="1">
      <c r="A17" s="298">
        <v>15</v>
      </c>
      <c r="B17" s="299">
        <f>'Servizi di Trasporto Dati'!D19</f>
        <v>0</v>
      </c>
      <c r="C17" s="299">
        <f>'Servizi di Trasporto Dati'!E19</f>
        <v>0</v>
      </c>
      <c r="D17" s="299">
        <f>'Servizi di Trasporto Dati'!F19</f>
        <v>0</v>
      </c>
      <c r="E17" s="299">
        <f>IF(AND('Servizi di Trasporto Dati'!G19="Si",'Servizi di Trasporto Dati'!H19&lt;&gt;"Si"),"Si","")</f>
      </c>
      <c r="F17" s="299">
        <f>IF(AND('Servizi di Trasporto Dati'!G19&lt;&gt;"Si",'Servizi di Trasporto Dati'!H19="Si"),"Si","")</f>
      </c>
      <c r="G17" s="299">
        <f>IF(AND('Servizi di Trasporto Dati'!G19="Si",'Servizi di Trasporto Dati'!H19="Si"),"Si","")</f>
      </c>
      <c r="H17" s="299">
        <f>'Servizi di Trasporto Dati'!I19</f>
        <v>0</v>
      </c>
      <c r="I17" s="299">
        <f>'Servizi di Trasporto Dati'!J19</f>
        <v>0</v>
      </c>
      <c r="J17" s="299">
        <f>'Servizi di Trasporto Dati'!K19</f>
        <v>0</v>
      </c>
      <c r="K17" s="299">
        <f>'Servizi di Trasporto Dati'!L19</f>
        <v>0</v>
      </c>
      <c r="L17" s="299">
        <f>'Servizi di Trasporto Dati'!M19</f>
        <v>0</v>
      </c>
      <c r="M17" s="300">
        <f>'Servizi di Trasporto Dati'!N19</f>
        <v>0</v>
      </c>
      <c r="N17" s="301">
        <f>IF($B17&lt;&gt;0,VLOOKUP($B17,Listini!$A$2:$AD$40,3,FALSE)*(1+IF($E17="Si",(Listini!$E$43-100)/100,0)+IF($G17="Si",(Listini!$E$45-100)/100,0)),0)</f>
        <v>0</v>
      </c>
      <c r="O17" s="301">
        <f>IF($B17&lt;&gt;0,(VLOOKUP($B17,Listini!$A$2:$AD$40,4,FALSE)+IF($C17="Si",Listini!$D$41,0)+IF($D17="Si",Listini!$D$42,0)+IF($H17&lt;&gt;0,VLOOKUP($H17,Listini!$A$51:$AD$54,4,FALSE),0))*(1+IF($E17="Si",(Listini!$F$43-100)/100,0)+IF($F17="Si",(Listini!$F$44-100)/100,0)+IF($G17="Si",(Listini!$F$45-100)/100,0))+$I17*Listini!$D$46+'Riepilogo Fabbisogni'!J17*Listini!$D$47+'Riepilogo Fabbisogni'!K17*Listini!$D$48+'Riepilogo Fabbisogni'!L17*Listini!$D$49+$M17*Listini!$D$50,0)</f>
        <v>0</v>
      </c>
      <c r="P17" s="301">
        <f>IF($B17&lt;&gt;0,VLOOKUP($B17,Listini!$A$2:$AD$40,7,FALSE)*(1+IF($E17="Si",(Listini!$I$43-100)/100,0)+IF($G17="Si",(Listini!$I$45-100)/100,0)),0)</f>
        <v>0</v>
      </c>
      <c r="Q17" s="301">
        <f>IF($B17&lt;&gt;0,(VLOOKUP($B17,Listini!$A$2:$AD$40,8,FALSE)+IF($C17="Si",Listini!$H$41,0)+IF($D17="Si",Listini!$H$42,0)+IF($H17&lt;&gt;0,VLOOKUP($H17,Listini!$A$51:$AD$54,8,FALSE),0))*(1+IF($E17="Si",(Listini!$J$43-100)/100,0)+IF($F17="Si",(Listini!$J$44-100)/100,0)+IF($G17="Si",(Listini!$J$45-100)/100,0))+$I17*Listini!$H$46+'Riepilogo Fabbisogni'!J17*Listini!$H$47+'Riepilogo Fabbisogni'!K17*Listini!$H$48+'Riepilogo Fabbisogni'!L17*Listini!$H$49+$M17*Listini!$H$50,0)</f>
        <v>0</v>
      </c>
      <c r="R17" s="301">
        <f>IF($B17&lt;&gt;0,VLOOKUP($B17,Listini!$A$2:$AD$40,11,FALSE)*(1+IF($E17="Si",(Listini!$M$43-100)/100,0)+IF($G17="Si",(Listini!$M$45-100)/100,0)),0)</f>
        <v>0</v>
      </c>
      <c r="S17" s="301">
        <f>IF($B17&lt;&gt;0,(VLOOKUP($B17,Listini!$A$2:$AD$40,12,FALSE)+IF($C17="Si",Listini!$L$41,0)+IF($D17="Si",Listini!$L$42,0)+IF($H17&lt;&gt;0,VLOOKUP($H17,Listini!$A$51:$AD$54,12,FALSE),0))*(1+IF($E17="Si",(Listini!$N$43-100)/100,0)+IF($F17="Si",(Listini!$N$44-100)/100,0)+IF($G17="Si",(Listini!$N$45-100)/100,0))+$I17*Listini!$L$46+'Riepilogo Fabbisogni'!J17*Listini!$L$47+'Riepilogo Fabbisogni'!K17*Listini!$L$48+'Riepilogo Fabbisogni'!L17*Listini!$L$49+$M17*Listini!$L$50,0)</f>
        <v>0</v>
      </c>
      <c r="T17" s="302">
        <f>IF($B17&lt;&gt;0,VLOOKUP($B17,Listini!$A$2:$AD$40,15,FALSE)*(1+IF($E17="Si",(Listini!$Q$43-100)/100,0)+IF($G17="Si",(Listini!$Q$45-100)/100,0)),0)</f>
        <v>0</v>
      </c>
      <c r="U17" s="302">
        <f>IF($B17&lt;&gt;0,(VLOOKUP($B17,Listini!$A$2:$AD$40,16,FALSE)+IF($C17="Si",Listini!$P$41,0)+IF($D17="Si",Listini!$P$42,0)+IF($H17&lt;&gt;0,VLOOKUP($H17,Listini!$A$51:$AD$54,16,FALSE),0))*(1+IF($E17="Si",(Listini!$R$43-100)/100,0)+IF($F17="Si",(Listini!$R$44-100)/100,0)+IF($G17="Si",(Listini!$R$45-100)/100,0))+$I17*Listini!$P$46+'Riepilogo Fabbisogni'!J17*Listini!$P$47+'Riepilogo Fabbisogni'!K17*Listini!$P$48+'Riepilogo Fabbisogni'!L17*Listini!$P$49+$M17*Listini!$P$50,0)</f>
        <v>0</v>
      </c>
      <c r="V17" s="302">
        <f>IF($B17&lt;&gt;0,VLOOKUP($B17,Listini!$A$2:$AD$40,19,FALSE)*(1+IF($E17="Si",(Listini!$U$43-100)/100,0)+IF($G17="Si",(Listini!$U$45-100)/100,0)),0)</f>
        <v>0</v>
      </c>
      <c r="W17" s="302">
        <f>IF($B17&lt;&gt;0,(VLOOKUP($B17,Listini!$A$2:$AD$40,20,FALSE)+IF($C17="Si",Listini!$T$41,0)+IF($D17="Si",Listini!$T$42,0)+IF($H17&lt;&gt;0,VLOOKUP($H17,Listini!$A$51:$AD$54,20,FALSE),0))*(1+IF($E17="Si",(Listini!$V$43-100)/100,0)+IF($F17="Si",(Listini!$V$44-100)/100,0)+IF($G17="Si",(Listini!$V$45-100)/100,0))+$I17*Listini!$T$46+'Riepilogo Fabbisogni'!J17*Listini!$T$47+'Riepilogo Fabbisogni'!K17*Listini!$T$48+'Riepilogo Fabbisogni'!L17*Listini!$T$49+$M17*Listini!$T$50,0)</f>
        <v>0</v>
      </c>
      <c r="X17" s="302">
        <f>IF($B17&lt;&gt;0,VLOOKUP($B17,Listini!$A$2:$AD$40,23,FALSE)*(1+IF($E17="Si",(Listini!$Y$43-100)/100,0)+IF($G17="Si",(Listini!$Y$45-100)/100,0)),0)</f>
        <v>0</v>
      </c>
      <c r="Y17" s="302">
        <f>IF($B17&lt;&gt;0,(VLOOKUP($B17,Listini!$A$2:$AD$40,24,FALSE)+IF($C17="Si",Listini!$X$41,0)+IF($D17="Si",Listini!$X$42,0)+IF($H17&lt;&gt;0,VLOOKUP($H17,Listini!$A$51:$AD$54,24,FALSE),0))*(1+IF($E17="Si",(Listini!$Z$43-100)/100,0)+IF($F17="Si",(Listini!$Z$44-100)/100,0)+IF($G17="Si",(Listini!$Z$45-100)/100,0))+$I17*Listini!$X$46+'Riepilogo Fabbisogni'!J17*Listini!$X$47+'Riepilogo Fabbisogni'!K17*Listini!$X$48+'Riepilogo Fabbisogni'!L17*Listini!$X$49+$M17*Listini!$X$50,0)</f>
        <v>0</v>
      </c>
      <c r="Z17" s="302">
        <f>IF($B17&lt;&gt;0,VLOOKUP($B17,Listini!$A$2:$AD$40,27,FALSE)*(1+IF($E17="Si",(Listini!$AC$43-100)/100,0)+IF($G17="Si",(Listini!$AC$45-100)/100,0)),0)</f>
        <v>0</v>
      </c>
      <c r="AA17" s="302">
        <f>IF($B17&lt;&gt;0,(VLOOKUP($B17,Listini!$A$2:$AD$40,28,FALSE)+IF($C17="Si",Listini!$AB$41,0)+IF($D17="Si",Listini!$AB$42,0)+IF($H17&lt;&gt;0,VLOOKUP($H17,Listini!$A$51:$AD$54,28,FALSE),0))*(1+IF($E17="Si",(Listini!$AD$43-100)/100,0)+IF($F17="Si",(Listini!$AD$44-100)/100,0)+IF($G17="Si",(Listini!$AD$45-100)/100,0))+$I17*Listini!$AB$46+'Riepilogo Fabbisogni'!J17*Listini!$AB$47+'Riepilogo Fabbisogni'!K17*Listini!$AB$48+'Riepilogo Fabbisogni'!L17*Listini!$AB$49+$M17*Listini!$AB$50,0)</f>
        <v>0</v>
      </c>
      <c r="AB17" s="302">
        <f>IF($B17&lt;&gt;0,VLOOKUP($B17,'Listino Offerta'!$A$3:$F$40,3,FALSE)*(1+IF($E17="Si",('Listino Offerta'!$E$43-100)/100,0)+IF($G17="Si",('Listino Offerta'!$E$45-100)/100,0)),0)</f>
        <v>0</v>
      </c>
      <c r="AC17" s="302">
        <f>IF($B17&lt;&gt;0,(VLOOKUP($B17,'Listino Offerta'!$A$2:$AD$40,4,FALSE)+IF($C17="Si",'Listino Offerta'!$D$41,0)+IF($D17="Si",'Listino Offerta'!$D$42,0)+IF($H17&lt;&gt;0,VLOOKUP($H17,'Listino Offerta'!$A$51:$AD$54,4,FALSE),0))*(1+IF($E17="Si",('Listino Offerta'!$F$43-100)/100,0)+IF($F17="Si",('Listino Offerta'!$F$44-100)/100,0)+IF($G17="Si",('Listino Offerta'!$F$45-100)/100,0))+$I17*'Listino Offerta'!$D$46+'Riepilogo Fabbisogni'!J17*'Listino Offerta'!$D$47+'Riepilogo Fabbisogni'!K17*'Listino Offerta'!$D$48+'Riepilogo Fabbisogni'!L17*'Listino Offerta'!$D$49+$M17*'Listino Offerta'!$D$50,0)</f>
        <v>0</v>
      </c>
    </row>
    <row r="18" spans="1:29" s="302" customFormat="1" ht="12" customHeight="1">
      <c r="A18" s="298">
        <v>16</v>
      </c>
      <c r="B18" s="299">
        <f>'Servizi di Trasporto Dati'!D20</f>
        <v>0</v>
      </c>
      <c r="C18" s="299">
        <f>'Servizi di Trasporto Dati'!E20</f>
        <v>0</v>
      </c>
      <c r="D18" s="299">
        <f>'Servizi di Trasporto Dati'!F20</f>
        <v>0</v>
      </c>
      <c r="E18" s="299">
        <f>IF(AND('Servizi di Trasporto Dati'!G20="Si",'Servizi di Trasporto Dati'!H20&lt;&gt;"Si"),"Si","")</f>
      </c>
      <c r="F18" s="299">
        <f>IF(AND('Servizi di Trasporto Dati'!G20&lt;&gt;"Si",'Servizi di Trasporto Dati'!H20="Si"),"Si","")</f>
      </c>
      <c r="G18" s="299">
        <f>IF(AND('Servizi di Trasporto Dati'!G20="Si",'Servizi di Trasporto Dati'!H20="Si"),"Si","")</f>
      </c>
      <c r="H18" s="299">
        <f>'Servizi di Trasporto Dati'!I20</f>
        <v>0</v>
      </c>
      <c r="I18" s="299">
        <f>'Servizi di Trasporto Dati'!J20</f>
        <v>0</v>
      </c>
      <c r="J18" s="299">
        <f>'Servizi di Trasporto Dati'!K20</f>
        <v>0</v>
      </c>
      <c r="K18" s="299">
        <f>'Servizi di Trasporto Dati'!L20</f>
        <v>0</v>
      </c>
      <c r="L18" s="299">
        <f>'Servizi di Trasporto Dati'!M20</f>
        <v>0</v>
      </c>
      <c r="M18" s="300">
        <f>'Servizi di Trasporto Dati'!N20</f>
        <v>0</v>
      </c>
      <c r="N18" s="301">
        <f>IF($B18&lt;&gt;0,VLOOKUP($B18,Listini!$A$2:$AD$40,3,FALSE)*(1+IF($E18="Si",(Listini!$E$43-100)/100,0)+IF($G18="Si",(Listini!$E$45-100)/100,0)),0)</f>
        <v>0</v>
      </c>
      <c r="O18" s="301">
        <f>IF($B18&lt;&gt;0,(VLOOKUP($B18,Listini!$A$2:$AD$40,4,FALSE)+IF($C18="Si",Listini!$D$41,0)+IF($D18="Si",Listini!$D$42,0)+IF($H18&lt;&gt;0,VLOOKUP($H18,Listini!$A$51:$AD$54,4,FALSE),0))*(1+IF($E18="Si",(Listini!$F$43-100)/100,0)+IF($F18="Si",(Listini!$F$44-100)/100,0)+IF($G18="Si",(Listini!$F$45-100)/100,0))+$I18*Listini!$D$46+'Riepilogo Fabbisogni'!J18*Listini!$D$47+'Riepilogo Fabbisogni'!K18*Listini!$D$48+'Riepilogo Fabbisogni'!L18*Listini!$D$49+$M18*Listini!$D$50,0)</f>
        <v>0</v>
      </c>
      <c r="P18" s="301">
        <f>IF($B18&lt;&gt;0,VLOOKUP($B18,Listini!$A$2:$AD$40,7,FALSE)*(1+IF($E18="Si",(Listini!$I$43-100)/100,0)+IF($G18="Si",(Listini!$I$45-100)/100,0)),0)</f>
        <v>0</v>
      </c>
      <c r="Q18" s="301">
        <f>IF($B18&lt;&gt;0,(VLOOKUP($B18,Listini!$A$2:$AD$40,8,FALSE)+IF($C18="Si",Listini!$H$41,0)+IF($D18="Si",Listini!$H$42,0)+IF($H18&lt;&gt;0,VLOOKUP($H18,Listini!$A$51:$AD$54,8,FALSE),0))*(1+IF($E18="Si",(Listini!$J$43-100)/100,0)+IF($F18="Si",(Listini!$J$44-100)/100,0)+IF($G18="Si",(Listini!$J$45-100)/100,0))+$I18*Listini!$H$46+'Riepilogo Fabbisogni'!J18*Listini!$H$47+'Riepilogo Fabbisogni'!K18*Listini!$H$48+'Riepilogo Fabbisogni'!L18*Listini!$H$49+$M18*Listini!$H$50,0)</f>
        <v>0</v>
      </c>
      <c r="R18" s="301">
        <f>IF($B18&lt;&gt;0,VLOOKUP($B18,Listini!$A$2:$AD$40,11,FALSE)*(1+IF($E18="Si",(Listini!$M$43-100)/100,0)+IF($G18="Si",(Listini!$M$45-100)/100,0)),0)</f>
        <v>0</v>
      </c>
      <c r="S18" s="301">
        <f>IF($B18&lt;&gt;0,(VLOOKUP($B18,Listini!$A$2:$AD$40,12,FALSE)+IF($C18="Si",Listini!$L$41,0)+IF($D18="Si",Listini!$L$42,0)+IF($H18&lt;&gt;0,VLOOKUP($H18,Listini!$A$51:$AD$54,12,FALSE),0))*(1+IF($E18="Si",(Listini!$N$43-100)/100,0)+IF($F18="Si",(Listini!$N$44-100)/100,0)+IF($G18="Si",(Listini!$N$45-100)/100,0))+$I18*Listini!$L$46+'Riepilogo Fabbisogni'!J18*Listini!$L$47+'Riepilogo Fabbisogni'!K18*Listini!$L$48+'Riepilogo Fabbisogni'!L18*Listini!$L$49+$M18*Listini!$L$50,0)</f>
        <v>0</v>
      </c>
      <c r="T18" s="302">
        <f>IF($B18&lt;&gt;0,VLOOKUP($B18,Listini!$A$2:$AD$40,15,FALSE)*(1+IF($E18="Si",(Listini!$Q$43-100)/100,0)+IF($G18="Si",(Listini!$Q$45-100)/100,0)),0)</f>
        <v>0</v>
      </c>
      <c r="U18" s="302">
        <f>IF($B18&lt;&gt;0,(VLOOKUP($B18,Listini!$A$2:$AD$40,16,FALSE)+IF($C18="Si",Listini!$P$41,0)+IF($D18="Si",Listini!$P$42,0)+IF($H18&lt;&gt;0,VLOOKUP($H18,Listini!$A$51:$AD$54,16,FALSE),0))*(1+IF($E18="Si",(Listini!$R$43-100)/100,0)+IF($F18="Si",(Listini!$R$44-100)/100,0)+IF($G18="Si",(Listini!$R$45-100)/100,0))+$I18*Listini!$P$46+'Riepilogo Fabbisogni'!J18*Listini!$P$47+'Riepilogo Fabbisogni'!K18*Listini!$P$48+'Riepilogo Fabbisogni'!L18*Listini!$P$49+$M18*Listini!$P$50,0)</f>
        <v>0</v>
      </c>
      <c r="V18" s="302">
        <f>IF($B18&lt;&gt;0,VLOOKUP($B18,Listini!$A$2:$AD$40,19,FALSE)*(1+IF($E18="Si",(Listini!$U$43-100)/100,0)+IF($G18="Si",(Listini!$U$45-100)/100,0)),0)</f>
        <v>0</v>
      </c>
      <c r="W18" s="302">
        <f>IF($B18&lt;&gt;0,(VLOOKUP($B18,Listini!$A$2:$AD$40,20,FALSE)+IF($C18="Si",Listini!$T$41,0)+IF($D18="Si",Listini!$T$42,0)+IF($H18&lt;&gt;0,VLOOKUP($H18,Listini!$A$51:$AD$54,20,FALSE),0))*(1+IF($E18="Si",(Listini!$V$43-100)/100,0)+IF($F18="Si",(Listini!$V$44-100)/100,0)+IF($G18="Si",(Listini!$V$45-100)/100,0))+$I18*Listini!$T$46+'Riepilogo Fabbisogni'!J18*Listini!$T$47+'Riepilogo Fabbisogni'!K18*Listini!$T$48+'Riepilogo Fabbisogni'!L18*Listini!$T$49+$M18*Listini!$T$50,0)</f>
        <v>0</v>
      </c>
      <c r="X18" s="302">
        <f>IF($B18&lt;&gt;0,VLOOKUP($B18,Listini!$A$2:$AD$40,23,FALSE)*(1+IF($E18="Si",(Listini!$Y$43-100)/100,0)+IF($G18="Si",(Listini!$Y$45-100)/100,0)),0)</f>
        <v>0</v>
      </c>
      <c r="Y18" s="302">
        <f>IF($B18&lt;&gt;0,(VLOOKUP($B18,Listini!$A$2:$AD$40,24,FALSE)+IF($C18="Si",Listini!$X$41,0)+IF($D18="Si",Listini!$X$42,0)+IF($H18&lt;&gt;0,VLOOKUP($H18,Listini!$A$51:$AD$54,24,FALSE),0))*(1+IF($E18="Si",(Listini!$Z$43-100)/100,0)+IF($F18="Si",(Listini!$Z$44-100)/100,0)+IF($G18="Si",(Listini!$Z$45-100)/100,0))+$I18*Listini!$X$46+'Riepilogo Fabbisogni'!J18*Listini!$X$47+'Riepilogo Fabbisogni'!K18*Listini!$X$48+'Riepilogo Fabbisogni'!L18*Listini!$X$49+$M18*Listini!$X$50,0)</f>
        <v>0</v>
      </c>
      <c r="Z18" s="302">
        <f>IF($B18&lt;&gt;0,VLOOKUP($B18,Listini!$A$2:$AD$40,27,FALSE)*(1+IF($E18="Si",(Listini!$AC$43-100)/100,0)+IF($G18="Si",(Listini!$AC$45-100)/100,0)),0)</f>
        <v>0</v>
      </c>
      <c r="AA18" s="302">
        <f>IF($B18&lt;&gt;0,(VLOOKUP($B18,Listini!$A$2:$AD$40,28,FALSE)+IF($C18="Si",Listini!$AB$41,0)+IF($D18="Si",Listini!$AB$42,0)+IF($H18&lt;&gt;0,VLOOKUP($H18,Listini!$A$51:$AD$54,28,FALSE),0))*(1+IF($E18="Si",(Listini!$AD$43-100)/100,0)+IF($F18="Si",(Listini!$AD$44-100)/100,0)+IF($G18="Si",(Listini!$AD$45-100)/100,0))+$I18*Listini!$AB$46+'Riepilogo Fabbisogni'!J18*Listini!$AB$47+'Riepilogo Fabbisogni'!K18*Listini!$AB$48+'Riepilogo Fabbisogni'!L18*Listini!$AB$49+$M18*Listini!$AB$50,0)</f>
        <v>0</v>
      </c>
      <c r="AB18" s="302">
        <f>IF($B18&lt;&gt;0,VLOOKUP($B18,'Listino Offerta'!$A$3:$F$40,3,FALSE)*(1+IF($E18="Si",('Listino Offerta'!$E$43-100)/100,0)+IF($G18="Si",('Listino Offerta'!$E$45-100)/100,0)),0)</f>
        <v>0</v>
      </c>
      <c r="AC18" s="302">
        <f>IF($B18&lt;&gt;0,(VLOOKUP($B18,'Listino Offerta'!$A$2:$AD$40,4,FALSE)+IF($C18="Si",'Listino Offerta'!$D$41,0)+IF($D18="Si",'Listino Offerta'!$D$42,0)+IF($H18&lt;&gt;0,VLOOKUP($H18,'Listino Offerta'!$A$51:$AD$54,4,FALSE),0))*(1+IF($E18="Si",('Listino Offerta'!$F$43-100)/100,0)+IF($F18="Si",('Listino Offerta'!$F$44-100)/100,0)+IF($G18="Si",('Listino Offerta'!$F$45-100)/100,0))+$I18*'Listino Offerta'!$D$46+'Riepilogo Fabbisogni'!J18*'Listino Offerta'!$D$47+'Riepilogo Fabbisogni'!K18*'Listino Offerta'!$D$48+'Riepilogo Fabbisogni'!L18*'Listino Offerta'!$D$49+$M18*'Listino Offerta'!$D$50,0)</f>
        <v>0</v>
      </c>
    </row>
    <row r="19" spans="1:29" s="302" customFormat="1" ht="12" customHeight="1">
      <c r="A19" s="298">
        <v>17</v>
      </c>
      <c r="B19" s="299">
        <f>'Servizi di Trasporto Dati'!D21</f>
        <v>0</v>
      </c>
      <c r="C19" s="299">
        <f>'Servizi di Trasporto Dati'!E21</f>
        <v>0</v>
      </c>
      <c r="D19" s="299">
        <f>'Servizi di Trasporto Dati'!F21</f>
        <v>0</v>
      </c>
      <c r="E19" s="299">
        <f>IF(AND('Servizi di Trasporto Dati'!G21="Si",'Servizi di Trasporto Dati'!H21&lt;&gt;"Si"),"Si","")</f>
      </c>
      <c r="F19" s="299">
        <f>IF(AND('Servizi di Trasporto Dati'!G21&lt;&gt;"Si",'Servizi di Trasporto Dati'!H21="Si"),"Si","")</f>
      </c>
      <c r="G19" s="299">
        <f>IF(AND('Servizi di Trasporto Dati'!G21="Si",'Servizi di Trasporto Dati'!H21="Si"),"Si","")</f>
      </c>
      <c r="H19" s="299">
        <f>'Servizi di Trasporto Dati'!I21</f>
        <v>0</v>
      </c>
      <c r="I19" s="299">
        <f>'Servizi di Trasporto Dati'!J21</f>
        <v>0</v>
      </c>
      <c r="J19" s="299">
        <f>'Servizi di Trasporto Dati'!K21</f>
        <v>0</v>
      </c>
      <c r="K19" s="299">
        <f>'Servizi di Trasporto Dati'!L21</f>
        <v>0</v>
      </c>
      <c r="L19" s="299">
        <f>'Servizi di Trasporto Dati'!M21</f>
        <v>0</v>
      </c>
      <c r="M19" s="300">
        <f>'Servizi di Trasporto Dati'!N21</f>
        <v>0</v>
      </c>
      <c r="N19" s="301">
        <f>IF($B19&lt;&gt;0,VLOOKUP($B19,Listini!$A$2:$AD$40,3,FALSE)*(1+IF($E19="Si",(Listini!$E$43-100)/100,0)+IF($G19="Si",(Listini!$E$45-100)/100,0)),0)</f>
        <v>0</v>
      </c>
      <c r="O19" s="301">
        <f>IF($B19&lt;&gt;0,(VLOOKUP($B19,Listini!$A$2:$AD$40,4,FALSE)+IF($C19="Si",Listini!$D$41,0)+IF($D19="Si",Listini!$D$42,0)+IF($H19&lt;&gt;0,VLOOKUP($H19,Listini!$A$51:$AD$54,4,FALSE),0))*(1+IF($E19="Si",(Listini!$F$43-100)/100,0)+IF($F19="Si",(Listini!$F$44-100)/100,0)+IF($G19="Si",(Listini!$F$45-100)/100,0))+$I19*Listini!$D$46+'Riepilogo Fabbisogni'!J19*Listini!$D$47+'Riepilogo Fabbisogni'!K19*Listini!$D$48+'Riepilogo Fabbisogni'!L19*Listini!$D$49+$M19*Listini!$D$50,0)</f>
        <v>0</v>
      </c>
      <c r="P19" s="301">
        <f>IF($B19&lt;&gt;0,VLOOKUP($B19,Listini!$A$2:$AD$40,7,FALSE)*(1+IF($E19="Si",(Listini!$I$43-100)/100,0)+IF($G19="Si",(Listini!$I$45-100)/100,0)),0)</f>
        <v>0</v>
      </c>
      <c r="Q19" s="301">
        <f>IF($B19&lt;&gt;0,(VLOOKUP($B19,Listini!$A$2:$AD$40,8,FALSE)+IF($C19="Si",Listini!$H$41,0)+IF($D19="Si",Listini!$H$42,0)+IF($H19&lt;&gt;0,VLOOKUP($H19,Listini!$A$51:$AD$54,8,FALSE),0))*(1+IF($E19="Si",(Listini!$J$43-100)/100,0)+IF($F19="Si",(Listini!$J$44-100)/100,0)+IF($G19="Si",(Listini!$J$45-100)/100,0))+$I19*Listini!$H$46+'Riepilogo Fabbisogni'!J19*Listini!$H$47+'Riepilogo Fabbisogni'!K19*Listini!$H$48+'Riepilogo Fabbisogni'!L19*Listini!$H$49+$M19*Listini!$H$50,0)</f>
        <v>0</v>
      </c>
      <c r="R19" s="301">
        <f>IF($B19&lt;&gt;0,VLOOKUP($B19,Listini!$A$2:$AD$40,11,FALSE)*(1+IF($E19="Si",(Listini!$M$43-100)/100,0)+IF($G19="Si",(Listini!$M$45-100)/100,0)),0)</f>
        <v>0</v>
      </c>
      <c r="S19" s="301">
        <f>IF($B19&lt;&gt;0,(VLOOKUP($B19,Listini!$A$2:$AD$40,12,FALSE)+IF($C19="Si",Listini!$L$41,0)+IF($D19="Si",Listini!$L$42,0)+IF($H19&lt;&gt;0,VLOOKUP($H19,Listini!$A$51:$AD$54,12,FALSE),0))*(1+IF($E19="Si",(Listini!$N$43-100)/100,0)+IF($F19="Si",(Listini!$N$44-100)/100,0)+IF($G19="Si",(Listini!$N$45-100)/100,0))+$I19*Listini!$L$46+'Riepilogo Fabbisogni'!J19*Listini!$L$47+'Riepilogo Fabbisogni'!K19*Listini!$L$48+'Riepilogo Fabbisogni'!L19*Listini!$L$49+$M19*Listini!$L$50,0)</f>
        <v>0</v>
      </c>
      <c r="T19" s="302">
        <f>IF($B19&lt;&gt;0,VLOOKUP($B19,Listini!$A$2:$AD$40,15,FALSE)*(1+IF($E19="Si",(Listini!$Q$43-100)/100,0)+IF($G19="Si",(Listini!$Q$45-100)/100,0)),0)</f>
        <v>0</v>
      </c>
      <c r="U19" s="302">
        <f>IF($B19&lt;&gt;0,(VLOOKUP($B19,Listini!$A$2:$AD$40,16,FALSE)+IF($C19="Si",Listini!$P$41,0)+IF($D19="Si",Listini!$P$42,0)+IF($H19&lt;&gt;0,VLOOKUP($H19,Listini!$A$51:$AD$54,16,FALSE),0))*(1+IF($E19="Si",(Listini!$R$43-100)/100,0)+IF($F19="Si",(Listini!$R$44-100)/100,0)+IF($G19="Si",(Listini!$R$45-100)/100,0))+$I19*Listini!$P$46+'Riepilogo Fabbisogni'!J19*Listini!$P$47+'Riepilogo Fabbisogni'!K19*Listini!$P$48+'Riepilogo Fabbisogni'!L19*Listini!$P$49+$M19*Listini!$P$50,0)</f>
        <v>0</v>
      </c>
      <c r="V19" s="302">
        <f>IF($B19&lt;&gt;0,VLOOKUP($B19,Listini!$A$2:$AD$40,19,FALSE)*(1+IF($E19="Si",(Listini!$U$43-100)/100,0)+IF($G19="Si",(Listini!$U$45-100)/100,0)),0)</f>
        <v>0</v>
      </c>
      <c r="W19" s="302">
        <f>IF($B19&lt;&gt;0,(VLOOKUP($B19,Listini!$A$2:$AD$40,20,FALSE)+IF($C19="Si",Listini!$T$41,0)+IF($D19="Si",Listini!$T$42,0)+IF($H19&lt;&gt;0,VLOOKUP($H19,Listini!$A$51:$AD$54,20,FALSE),0))*(1+IF($E19="Si",(Listini!$V$43-100)/100,0)+IF($F19="Si",(Listini!$V$44-100)/100,0)+IF($G19="Si",(Listini!$V$45-100)/100,0))+$I19*Listini!$T$46+'Riepilogo Fabbisogni'!J19*Listini!$T$47+'Riepilogo Fabbisogni'!K19*Listini!$T$48+'Riepilogo Fabbisogni'!L19*Listini!$T$49+$M19*Listini!$T$50,0)</f>
        <v>0</v>
      </c>
      <c r="X19" s="302">
        <f>IF($B19&lt;&gt;0,VLOOKUP($B19,Listini!$A$2:$AD$40,23,FALSE)*(1+IF($E19="Si",(Listini!$Y$43-100)/100,0)+IF($G19="Si",(Listini!$Y$45-100)/100,0)),0)</f>
        <v>0</v>
      </c>
      <c r="Y19" s="302">
        <f>IF($B19&lt;&gt;0,(VLOOKUP($B19,Listini!$A$2:$AD$40,24,FALSE)+IF($C19="Si",Listini!$X$41,0)+IF($D19="Si",Listini!$X$42,0)+IF($H19&lt;&gt;0,VLOOKUP($H19,Listini!$A$51:$AD$54,24,FALSE),0))*(1+IF($E19="Si",(Listini!$Z$43-100)/100,0)+IF($F19="Si",(Listini!$Z$44-100)/100,0)+IF($G19="Si",(Listini!$Z$45-100)/100,0))+$I19*Listini!$X$46+'Riepilogo Fabbisogni'!J19*Listini!$X$47+'Riepilogo Fabbisogni'!K19*Listini!$X$48+'Riepilogo Fabbisogni'!L19*Listini!$X$49+$M19*Listini!$X$50,0)</f>
        <v>0</v>
      </c>
      <c r="Z19" s="302">
        <f>IF($B19&lt;&gt;0,VLOOKUP($B19,Listini!$A$2:$AD$40,27,FALSE)*(1+IF($E19="Si",(Listini!$AC$43-100)/100,0)+IF($G19="Si",(Listini!$AC$45-100)/100,0)),0)</f>
        <v>0</v>
      </c>
      <c r="AA19" s="302">
        <f>IF($B19&lt;&gt;0,(VLOOKUP($B19,Listini!$A$2:$AD$40,28,FALSE)+IF($C19="Si",Listini!$AB$41,0)+IF($D19="Si",Listini!$AB$42,0)+IF($H19&lt;&gt;0,VLOOKUP($H19,Listini!$A$51:$AD$54,28,FALSE),0))*(1+IF($E19="Si",(Listini!$AD$43-100)/100,0)+IF($F19="Si",(Listini!$AD$44-100)/100,0)+IF($G19="Si",(Listini!$AD$45-100)/100,0))+$I19*Listini!$AB$46+'Riepilogo Fabbisogni'!J19*Listini!$AB$47+'Riepilogo Fabbisogni'!K19*Listini!$AB$48+'Riepilogo Fabbisogni'!L19*Listini!$AB$49+$M19*Listini!$AB$50,0)</f>
        <v>0</v>
      </c>
      <c r="AB19" s="302">
        <f>IF($B19&lt;&gt;0,VLOOKUP($B19,'Listino Offerta'!$A$3:$F$40,3,FALSE)*(1+IF($E19="Si",('Listino Offerta'!$E$43-100)/100,0)+IF($G19="Si",('Listino Offerta'!$E$45-100)/100,0)),0)</f>
        <v>0</v>
      </c>
      <c r="AC19" s="302">
        <f>IF($B19&lt;&gt;0,(VLOOKUP($B19,'Listino Offerta'!$A$2:$AD$40,4,FALSE)+IF($C19="Si",'Listino Offerta'!$D$41,0)+IF($D19="Si",'Listino Offerta'!$D$42,0)+IF($H19&lt;&gt;0,VLOOKUP($H19,'Listino Offerta'!$A$51:$AD$54,4,FALSE),0))*(1+IF($E19="Si",('Listino Offerta'!$F$43-100)/100,0)+IF($F19="Si",('Listino Offerta'!$F$44-100)/100,0)+IF($G19="Si",('Listino Offerta'!$F$45-100)/100,0))+$I19*'Listino Offerta'!$D$46+'Riepilogo Fabbisogni'!J19*'Listino Offerta'!$D$47+'Riepilogo Fabbisogni'!K19*'Listino Offerta'!$D$48+'Riepilogo Fabbisogni'!L19*'Listino Offerta'!$D$49+$M19*'Listino Offerta'!$D$50,0)</f>
        <v>0</v>
      </c>
    </row>
    <row r="20" spans="1:29" s="302" customFormat="1" ht="12" customHeight="1">
      <c r="A20" s="298">
        <v>18</v>
      </c>
      <c r="B20" s="299">
        <f>'Servizi di Trasporto Dati'!D22</f>
        <v>0</v>
      </c>
      <c r="C20" s="299">
        <f>'Servizi di Trasporto Dati'!E22</f>
        <v>0</v>
      </c>
      <c r="D20" s="299">
        <f>'Servizi di Trasporto Dati'!F22</f>
        <v>0</v>
      </c>
      <c r="E20" s="299">
        <f>IF(AND('Servizi di Trasporto Dati'!G22="Si",'Servizi di Trasporto Dati'!H22&lt;&gt;"Si"),"Si","")</f>
      </c>
      <c r="F20" s="299">
        <f>IF(AND('Servizi di Trasporto Dati'!G22&lt;&gt;"Si",'Servizi di Trasporto Dati'!H22="Si"),"Si","")</f>
      </c>
      <c r="G20" s="299">
        <f>IF(AND('Servizi di Trasporto Dati'!G22="Si",'Servizi di Trasporto Dati'!H22="Si"),"Si","")</f>
      </c>
      <c r="H20" s="299">
        <f>'Servizi di Trasporto Dati'!I22</f>
        <v>0</v>
      </c>
      <c r="I20" s="299">
        <f>'Servizi di Trasporto Dati'!J22</f>
        <v>0</v>
      </c>
      <c r="J20" s="299">
        <f>'Servizi di Trasporto Dati'!K22</f>
        <v>0</v>
      </c>
      <c r="K20" s="299">
        <f>'Servizi di Trasporto Dati'!L22</f>
        <v>0</v>
      </c>
      <c r="L20" s="299">
        <f>'Servizi di Trasporto Dati'!M22</f>
        <v>0</v>
      </c>
      <c r="M20" s="300">
        <f>'Servizi di Trasporto Dati'!N22</f>
        <v>0</v>
      </c>
      <c r="N20" s="301">
        <f>IF($B20&lt;&gt;0,VLOOKUP($B20,Listini!$A$2:$AD$40,3,FALSE)*(1+IF($E20="Si",(Listini!$E$43-100)/100,0)+IF($G20="Si",(Listini!$E$45-100)/100,0)),0)</f>
        <v>0</v>
      </c>
      <c r="O20" s="301">
        <f>IF($B20&lt;&gt;0,(VLOOKUP($B20,Listini!$A$2:$AD$40,4,FALSE)+IF($C20="Si",Listini!$D$41,0)+IF($D20="Si",Listini!$D$42,0)+IF($H20&lt;&gt;0,VLOOKUP($H20,Listini!$A$51:$AD$54,4,FALSE),0))*(1+IF($E20="Si",(Listini!$F$43-100)/100,0)+IF($F20="Si",(Listini!$F$44-100)/100,0)+IF($G20="Si",(Listini!$F$45-100)/100,0))+$I20*Listini!$D$46+'Riepilogo Fabbisogni'!J20*Listini!$D$47+'Riepilogo Fabbisogni'!K20*Listini!$D$48+'Riepilogo Fabbisogni'!L20*Listini!$D$49+$M20*Listini!$D$50,0)</f>
        <v>0</v>
      </c>
      <c r="P20" s="301">
        <f>IF($B20&lt;&gt;0,VLOOKUP($B20,Listini!$A$2:$AD$40,7,FALSE)*(1+IF($E20="Si",(Listini!$I$43-100)/100,0)+IF($G20="Si",(Listini!$I$45-100)/100,0)),0)</f>
        <v>0</v>
      </c>
      <c r="Q20" s="301">
        <f>IF($B20&lt;&gt;0,(VLOOKUP($B20,Listini!$A$2:$AD$40,8,FALSE)+IF($C20="Si",Listini!$H$41,0)+IF($D20="Si",Listini!$H$42,0)+IF($H20&lt;&gt;0,VLOOKUP($H20,Listini!$A$51:$AD$54,8,FALSE),0))*(1+IF($E20="Si",(Listini!$J$43-100)/100,0)+IF($F20="Si",(Listini!$J$44-100)/100,0)+IF($G20="Si",(Listini!$J$45-100)/100,0))+$I20*Listini!$H$46+'Riepilogo Fabbisogni'!J20*Listini!$H$47+'Riepilogo Fabbisogni'!K20*Listini!$H$48+'Riepilogo Fabbisogni'!L20*Listini!$H$49+$M20*Listini!$H$50,0)</f>
        <v>0</v>
      </c>
      <c r="R20" s="301">
        <f>IF($B20&lt;&gt;0,VLOOKUP($B20,Listini!$A$2:$AD$40,11,FALSE)*(1+IF($E20="Si",(Listini!$M$43-100)/100,0)+IF($G20="Si",(Listini!$M$45-100)/100,0)),0)</f>
        <v>0</v>
      </c>
      <c r="S20" s="301">
        <f>IF($B20&lt;&gt;0,(VLOOKUP($B20,Listini!$A$2:$AD$40,12,FALSE)+IF($C20="Si",Listini!$L$41,0)+IF($D20="Si",Listini!$L$42,0)+IF($H20&lt;&gt;0,VLOOKUP($H20,Listini!$A$51:$AD$54,12,FALSE),0))*(1+IF($E20="Si",(Listini!$N$43-100)/100,0)+IF($F20="Si",(Listini!$N$44-100)/100,0)+IF($G20="Si",(Listini!$N$45-100)/100,0))+$I20*Listini!$L$46+'Riepilogo Fabbisogni'!J20*Listini!$L$47+'Riepilogo Fabbisogni'!K20*Listini!$L$48+'Riepilogo Fabbisogni'!L20*Listini!$L$49+$M20*Listini!$L$50,0)</f>
        <v>0</v>
      </c>
      <c r="T20" s="302">
        <f>IF($B20&lt;&gt;0,VLOOKUP($B20,Listini!$A$2:$AD$40,15,FALSE)*(1+IF($E20="Si",(Listini!$Q$43-100)/100,0)+IF($G20="Si",(Listini!$Q$45-100)/100,0)),0)</f>
        <v>0</v>
      </c>
      <c r="U20" s="302">
        <f>IF($B20&lt;&gt;0,(VLOOKUP($B20,Listini!$A$2:$AD$40,16,FALSE)+IF($C20="Si",Listini!$P$41,0)+IF($D20="Si",Listini!$P$42,0)+IF($H20&lt;&gt;0,VLOOKUP($H20,Listini!$A$51:$AD$54,16,FALSE),0))*(1+IF($E20="Si",(Listini!$R$43-100)/100,0)+IF($F20="Si",(Listini!$R$44-100)/100,0)+IF($G20="Si",(Listini!$R$45-100)/100,0))+$I20*Listini!$P$46+'Riepilogo Fabbisogni'!J20*Listini!$P$47+'Riepilogo Fabbisogni'!K20*Listini!$P$48+'Riepilogo Fabbisogni'!L20*Listini!$P$49+$M20*Listini!$P$50,0)</f>
        <v>0</v>
      </c>
      <c r="V20" s="302">
        <f>IF($B20&lt;&gt;0,VLOOKUP($B20,Listini!$A$2:$AD$40,19,FALSE)*(1+IF($E20="Si",(Listini!$U$43-100)/100,0)+IF($G20="Si",(Listini!$U$45-100)/100,0)),0)</f>
        <v>0</v>
      </c>
      <c r="W20" s="302">
        <f>IF($B20&lt;&gt;0,(VLOOKUP($B20,Listini!$A$2:$AD$40,20,FALSE)+IF($C20="Si",Listini!$T$41,0)+IF($D20="Si",Listini!$T$42,0)+IF($H20&lt;&gt;0,VLOOKUP($H20,Listini!$A$51:$AD$54,20,FALSE),0))*(1+IF($E20="Si",(Listini!$V$43-100)/100,0)+IF($F20="Si",(Listini!$V$44-100)/100,0)+IF($G20="Si",(Listini!$V$45-100)/100,0))+$I20*Listini!$T$46+'Riepilogo Fabbisogni'!J20*Listini!$T$47+'Riepilogo Fabbisogni'!K20*Listini!$T$48+'Riepilogo Fabbisogni'!L20*Listini!$T$49+$M20*Listini!$T$50,0)</f>
        <v>0</v>
      </c>
      <c r="X20" s="302">
        <f>IF($B20&lt;&gt;0,VLOOKUP($B20,Listini!$A$2:$AD$40,23,FALSE)*(1+IF($E20="Si",(Listini!$Y$43-100)/100,0)+IF($G20="Si",(Listini!$Y$45-100)/100,0)),0)</f>
        <v>0</v>
      </c>
      <c r="Y20" s="302">
        <f>IF($B20&lt;&gt;0,(VLOOKUP($B20,Listini!$A$2:$AD$40,24,FALSE)+IF($C20="Si",Listini!$X$41,0)+IF($D20="Si",Listini!$X$42,0)+IF($H20&lt;&gt;0,VLOOKUP($H20,Listini!$A$51:$AD$54,24,FALSE),0))*(1+IF($E20="Si",(Listini!$Z$43-100)/100,0)+IF($F20="Si",(Listini!$Z$44-100)/100,0)+IF($G20="Si",(Listini!$Z$45-100)/100,0))+$I20*Listini!$X$46+'Riepilogo Fabbisogni'!J20*Listini!$X$47+'Riepilogo Fabbisogni'!K20*Listini!$X$48+'Riepilogo Fabbisogni'!L20*Listini!$X$49+$M20*Listini!$X$50,0)</f>
        <v>0</v>
      </c>
      <c r="Z20" s="302">
        <f>IF($B20&lt;&gt;0,VLOOKUP($B20,Listini!$A$2:$AD$40,27,FALSE)*(1+IF($E20="Si",(Listini!$AC$43-100)/100,0)+IF($G20="Si",(Listini!$AC$45-100)/100,0)),0)</f>
        <v>0</v>
      </c>
      <c r="AA20" s="302">
        <f>IF($B20&lt;&gt;0,(VLOOKUP($B20,Listini!$A$2:$AD$40,28,FALSE)+IF($C20="Si",Listini!$AB$41,0)+IF($D20="Si",Listini!$AB$42,0)+IF($H20&lt;&gt;0,VLOOKUP($H20,Listini!$A$51:$AD$54,28,FALSE),0))*(1+IF($E20="Si",(Listini!$AD$43-100)/100,0)+IF($F20="Si",(Listini!$AD$44-100)/100,0)+IF($G20="Si",(Listini!$AD$45-100)/100,0))+$I20*Listini!$AB$46+'Riepilogo Fabbisogni'!J20*Listini!$AB$47+'Riepilogo Fabbisogni'!K20*Listini!$AB$48+'Riepilogo Fabbisogni'!L20*Listini!$AB$49+$M20*Listini!$AB$50,0)</f>
        <v>0</v>
      </c>
      <c r="AB20" s="302">
        <f>IF($B20&lt;&gt;0,VLOOKUP($B20,'Listino Offerta'!$A$3:$F$40,3,FALSE)*(1+IF($E20="Si",('Listino Offerta'!$E$43-100)/100,0)+IF($G20="Si",('Listino Offerta'!$E$45-100)/100,0)),0)</f>
        <v>0</v>
      </c>
      <c r="AC20" s="302">
        <f>IF($B20&lt;&gt;0,(VLOOKUP($B20,'Listino Offerta'!$A$2:$AD$40,4,FALSE)+IF($C20="Si",'Listino Offerta'!$D$41,0)+IF($D20="Si",'Listino Offerta'!$D$42,0)+IF($H20&lt;&gt;0,VLOOKUP($H20,'Listino Offerta'!$A$51:$AD$54,4,FALSE),0))*(1+IF($E20="Si",('Listino Offerta'!$F$43-100)/100,0)+IF($F20="Si",('Listino Offerta'!$F$44-100)/100,0)+IF($G20="Si",('Listino Offerta'!$F$45-100)/100,0))+$I20*'Listino Offerta'!$D$46+'Riepilogo Fabbisogni'!J20*'Listino Offerta'!$D$47+'Riepilogo Fabbisogni'!K20*'Listino Offerta'!$D$48+'Riepilogo Fabbisogni'!L20*'Listino Offerta'!$D$49+$M20*'Listino Offerta'!$D$50,0)</f>
        <v>0</v>
      </c>
    </row>
    <row r="21" spans="1:29" s="302" customFormat="1" ht="12" customHeight="1">
      <c r="A21" s="298">
        <v>19</v>
      </c>
      <c r="B21" s="299">
        <f>'Servizi di Trasporto Dati'!D23</f>
        <v>0</v>
      </c>
      <c r="C21" s="299">
        <f>'Servizi di Trasporto Dati'!E23</f>
        <v>0</v>
      </c>
      <c r="D21" s="299">
        <f>'Servizi di Trasporto Dati'!F23</f>
        <v>0</v>
      </c>
      <c r="E21" s="299">
        <f>IF(AND('Servizi di Trasporto Dati'!G23="Si",'Servizi di Trasporto Dati'!H23&lt;&gt;"Si"),"Si","")</f>
      </c>
      <c r="F21" s="299">
        <f>IF(AND('Servizi di Trasporto Dati'!G23&lt;&gt;"Si",'Servizi di Trasporto Dati'!H23="Si"),"Si","")</f>
      </c>
      <c r="G21" s="299">
        <f>IF(AND('Servizi di Trasporto Dati'!G23="Si",'Servizi di Trasporto Dati'!H23="Si"),"Si","")</f>
      </c>
      <c r="H21" s="299">
        <f>'Servizi di Trasporto Dati'!I23</f>
        <v>0</v>
      </c>
      <c r="I21" s="299">
        <f>'Servizi di Trasporto Dati'!J23</f>
        <v>0</v>
      </c>
      <c r="J21" s="299">
        <f>'Servizi di Trasporto Dati'!K23</f>
        <v>0</v>
      </c>
      <c r="K21" s="299">
        <f>'Servizi di Trasporto Dati'!L23</f>
        <v>0</v>
      </c>
      <c r="L21" s="299">
        <f>'Servizi di Trasporto Dati'!M23</f>
        <v>0</v>
      </c>
      <c r="M21" s="300">
        <f>'Servizi di Trasporto Dati'!N23</f>
        <v>0</v>
      </c>
      <c r="N21" s="301">
        <f>IF($B21&lt;&gt;0,VLOOKUP($B21,Listini!$A$2:$AD$40,3,FALSE)*(1+IF($E21="Si",(Listini!$E$43-100)/100,0)+IF($G21="Si",(Listini!$E$45-100)/100,0)),0)</f>
        <v>0</v>
      </c>
      <c r="O21" s="301">
        <f>IF($B21&lt;&gt;0,(VLOOKUP($B21,Listini!$A$2:$AD$40,4,FALSE)+IF($C21="Si",Listini!$D$41,0)+IF($D21="Si",Listini!$D$42,0)+IF($H21&lt;&gt;0,VLOOKUP($H21,Listini!$A$51:$AD$54,4,FALSE),0))*(1+IF($E21="Si",(Listini!$F$43-100)/100,0)+IF($F21="Si",(Listini!$F$44-100)/100,0)+IF($G21="Si",(Listini!$F$45-100)/100,0))+$I21*Listini!$D$46+'Riepilogo Fabbisogni'!J21*Listini!$D$47+'Riepilogo Fabbisogni'!K21*Listini!$D$48+'Riepilogo Fabbisogni'!L21*Listini!$D$49+$M21*Listini!$D$50,0)</f>
        <v>0</v>
      </c>
      <c r="P21" s="301">
        <f>IF($B21&lt;&gt;0,VLOOKUP($B21,Listini!$A$2:$AD$40,7,FALSE)*(1+IF($E21="Si",(Listini!$I$43-100)/100,0)+IF($G21="Si",(Listini!$I$45-100)/100,0)),0)</f>
        <v>0</v>
      </c>
      <c r="Q21" s="301">
        <f>IF($B21&lt;&gt;0,(VLOOKUP($B21,Listini!$A$2:$AD$40,8,FALSE)+IF($C21="Si",Listini!$H$41,0)+IF($D21="Si",Listini!$H$42,0)+IF($H21&lt;&gt;0,VLOOKUP($H21,Listini!$A$51:$AD$54,8,FALSE),0))*(1+IF($E21="Si",(Listini!$J$43-100)/100,0)+IF($F21="Si",(Listini!$J$44-100)/100,0)+IF($G21="Si",(Listini!$J$45-100)/100,0))+$I21*Listini!$H$46+'Riepilogo Fabbisogni'!J21*Listini!$H$47+'Riepilogo Fabbisogni'!K21*Listini!$H$48+'Riepilogo Fabbisogni'!L21*Listini!$H$49+$M21*Listini!$H$50,0)</f>
        <v>0</v>
      </c>
      <c r="R21" s="301">
        <f>IF($B21&lt;&gt;0,VLOOKUP($B21,Listini!$A$2:$AD$40,11,FALSE)*(1+IF($E21="Si",(Listini!$M$43-100)/100,0)+IF($G21="Si",(Listini!$M$45-100)/100,0)),0)</f>
        <v>0</v>
      </c>
      <c r="S21" s="301">
        <f>IF($B21&lt;&gt;0,(VLOOKUP($B21,Listini!$A$2:$AD$40,12,FALSE)+IF($C21="Si",Listini!$L$41,0)+IF($D21="Si",Listini!$L$42,0)+IF($H21&lt;&gt;0,VLOOKUP($H21,Listini!$A$51:$AD$54,12,FALSE),0))*(1+IF($E21="Si",(Listini!$N$43-100)/100,0)+IF($F21="Si",(Listini!$N$44-100)/100,0)+IF($G21="Si",(Listini!$N$45-100)/100,0))+$I21*Listini!$L$46+'Riepilogo Fabbisogni'!J21*Listini!$L$47+'Riepilogo Fabbisogni'!K21*Listini!$L$48+'Riepilogo Fabbisogni'!L21*Listini!$L$49+$M21*Listini!$L$50,0)</f>
        <v>0</v>
      </c>
      <c r="T21" s="302">
        <f>IF($B21&lt;&gt;0,VLOOKUP($B21,Listini!$A$2:$AD$40,15,FALSE)*(1+IF($E21="Si",(Listini!$Q$43-100)/100,0)+IF($G21="Si",(Listini!$Q$45-100)/100,0)),0)</f>
        <v>0</v>
      </c>
      <c r="U21" s="302">
        <f>IF($B21&lt;&gt;0,(VLOOKUP($B21,Listini!$A$2:$AD$40,16,FALSE)+IF($C21="Si",Listini!$P$41,0)+IF($D21="Si",Listini!$P$42,0)+IF($H21&lt;&gt;0,VLOOKUP($H21,Listini!$A$51:$AD$54,16,FALSE),0))*(1+IF($E21="Si",(Listini!$R$43-100)/100,0)+IF($F21="Si",(Listini!$R$44-100)/100,0)+IF($G21="Si",(Listini!$R$45-100)/100,0))+$I21*Listini!$P$46+'Riepilogo Fabbisogni'!J21*Listini!$P$47+'Riepilogo Fabbisogni'!K21*Listini!$P$48+'Riepilogo Fabbisogni'!L21*Listini!$P$49+$M21*Listini!$P$50,0)</f>
        <v>0</v>
      </c>
      <c r="V21" s="302">
        <f>IF($B21&lt;&gt;0,VLOOKUP($B21,Listini!$A$2:$AD$40,19,FALSE)*(1+IF($E21="Si",(Listini!$U$43-100)/100,0)+IF($G21="Si",(Listini!$U$45-100)/100,0)),0)</f>
        <v>0</v>
      </c>
      <c r="W21" s="302">
        <f>IF($B21&lt;&gt;0,(VLOOKUP($B21,Listini!$A$2:$AD$40,20,FALSE)+IF($C21="Si",Listini!$T$41,0)+IF($D21="Si",Listini!$T$42,0)+IF($H21&lt;&gt;0,VLOOKUP($H21,Listini!$A$51:$AD$54,20,FALSE),0))*(1+IF($E21="Si",(Listini!$V$43-100)/100,0)+IF($F21="Si",(Listini!$V$44-100)/100,0)+IF($G21="Si",(Listini!$V$45-100)/100,0))+$I21*Listini!$T$46+'Riepilogo Fabbisogni'!J21*Listini!$T$47+'Riepilogo Fabbisogni'!K21*Listini!$T$48+'Riepilogo Fabbisogni'!L21*Listini!$T$49+$M21*Listini!$T$50,0)</f>
        <v>0</v>
      </c>
      <c r="X21" s="302">
        <f>IF($B21&lt;&gt;0,VLOOKUP($B21,Listini!$A$2:$AD$40,23,FALSE)*(1+IF($E21="Si",(Listini!$Y$43-100)/100,0)+IF($G21="Si",(Listini!$Y$45-100)/100,0)),0)</f>
        <v>0</v>
      </c>
      <c r="Y21" s="302">
        <f>IF($B21&lt;&gt;0,(VLOOKUP($B21,Listini!$A$2:$AD$40,24,FALSE)+IF($C21="Si",Listini!$X$41,0)+IF($D21="Si",Listini!$X$42,0)+IF($H21&lt;&gt;0,VLOOKUP($H21,Listini!$A$51:$AD$54,24,FALSE),0))*(1+IF($E21="Si",(Listini!$Z$43-100)/100,0)+IF($F21="Si",(Listini!$Z$44-100)/100,0)+IF($G21="Si",(Listini!$Z$45-100)/100,0))+$I21*Listini!$X$46+'Riepilogo Fabbisogni'!J21*Listini!$X$47+'Riepilogo Fabbisogni'!K21*Listini!$X$48+'Riepilogo Fabbisogni'!L21*Listini!$X$49+$M21*Listini!$X$50,0)</f>
        <v>0</v>
      </c>
      <c r="Z21" s="302">
        <f>IF($B21&lt;&gt;0,VLOOKUP($B21,Listini!$A$2:$AD$40,27,FALSE)*(1+IF($E21="Si",(Listini!$AC$43-100)/100,0)+IF($G21="Si",(Listini!$AC$45-100)/100,0)),0)</f>
        <v>0</v>
      </c>
      <c r="AA21" s="302">
        <f>IF($B21&lt;&gt;0,(VLOOKUP($B21,Listini!$A$2:$AD$40,28,FALSE)+IF($C21="Si",Listini!$AB$41,0)+IF($D21="Si",Listini!$AB$42,0)+IF($H21&lt;&gt;0,VLOOKUP($H21,Listini!$A$51:$AD$54,28,FALSE),0))*(1+IF($E21="Si",(Listini!$AD$43-100)/100,0)+IF($F21="Si",(Listini!$AD$44-100)/100,0)+IF($G21="Si",(Listini!$AD$45-100)/100,0))+$I21*Listini!$AB$46+'Riepilogo Fabbisogni'!J21*Listini!$AB$47+'Riepilogo Fabbisogni'!K21*Listini!$AB$48+'Riepilogo Fabbisogni'!L21*Listini!$AB$49+$M21*Listini!$AB$50,0)</f>
        <v>0</v>
      </c>
      <c r="AB21" s="302">
        <f>IF($B21&lt;&gt;0,VLOOKUP($B21,'Listino Offerta'!$A$3:$F$40,3,FALSE)*(1+IF($E21="Si",('Listino Offerta'!$E$43-100)/100,0)+IF($G21="Si",('Listino Offerta'!$E$45-100)/100,0)),0)</f>
        <v>0</v>
      </c>
      <c r="AC21" s="302">
        <f>IF($B21&lt;&gt;0,(VLOOKUP($B21,'Listino Offerta'!$A$2:$AD$40,4,FALSE)+IF($C21="Si",'Listino Offerta'!$D$41,0)+IF($D21="Si",'Listino Offerta'!$D$42,0)+IF($H21&lt;&gt;0,VLOOKUP($H21,'Listino Offerta'!$A$51:$AD$54,4,FALSE),0))*(1+IF($E21="Si",('Listino Offerta'!$F$43-100)/100,0)+IF($F21="Si",('Listino Offerta'!$F$44-100)/100,0)+IF($G21="Si",('Listino Offerta'!$F$45-100)/100,0))+$I21*'Listino Offerta'!$D$46+'Riepilogo Fabbisogni'!J21*'Listino Offerta'!$D$47+'Riepilogo Fabbisogni'!K21*'Listino Offerta'!$D$48+'Riepilogo Fabbisogni'!L21*'Listino Offerta'!$D$49+$M21*'Listino Offerta'!$D$50,0)</f>
        <v>0</v>
      </c>
    </row>
    <row r="22" spans="1:29" s="302" customFormat="1" ht="12" customHeight="1">
      <c r="A22" s="298">
        <v>20</v>
      </c>
      <c r="B22" s="299">
        <f>'Servizi di Trasporto Dati'!D24</f>
        <v>0</v>
      </c>
      <c r="C22" s="299">
        <f>'Servizi di Trasporto Dati'!E24</f>
        <v>0</v>
      </c>
      <c r="D22" s="299">
        <f>'Servizi di Trasporto Dati'!F24</f>
        <v>0</v>
      </c>
      <c r="E22" s="299">
        <f>IF(AND('Servizi di Trasporto Dati'!G24="Si",'Servizi di Trasporto Dati'!H24&lt;&gt;"Si"),"Si","")</f>
      </c>
      <c r="F22" s="299">
        <f>IF(AND('Servizi di Trasporto Dati'!G24&lt;&gt;"Si",'Servizi di Trasporto Dati'!H24="Si"),"Si","")</f>
      </c>
      <c r="G22" s="299">
        <f>IF(AND('Servizi di Trasporto Dati'!G24="Si",'Servizi di Trasporto Dati'!H24="Si"),"Si","")</f>
      </c>
      <c r="H22" s="299">
        <f>'Servizi di Trasporto Dati'!I24</f>
        <v>0</v>
      </c>
      <c r="I22" s="299">
        <f>'Servizi di Trasporto Dati'!J24</f>
        <v>0</v>
      </c>
      <c r="J22" s="299">
        <f>'Servizi di Trasporto Dati'!K24</f>
        <v>0</v>
      </c>
      <c r="K22" s="299">
        <f>'Servizi di Trasporto Dati'!L24</f>
        <v>0</v>
      </c>
      <c r="L22" s="299">
        <f>'Servizi di Trasporto Dati'!M24</f>
        <v>0</v>
      </c>
      <c r="M22" s="300">
        <f>'Servizi di Trasporto Dati'!N24</f>
        <v>0</v>
      </c>
      <c r="N22" s="301">
        <f>IF($B22&lt;&gt;0,VLOOKUP($B22,Listini!$A$2:$AD$40,3,FALSE)*(1+IF($E22="Si",(Listini!$E$43-100)/100,0)+IF($G22="Si",(Listini!$E$45-100)/100,0)),0)</f>
        <v>0</v>
      </c>
      <c r="O22" s="301">
        <f>IF($B22&lt;&gt;0,(VLOOKUP($B22,Listini!$A$2:$AD$40,4,FALSE)+IF($C22="Si",Listini!$D$41,0)+IF($D22="Si",Listini!$D$42,0)+IF($H22&lt;&gt;0,VLOOKUP($H22,Listini!$A$51:$AD$54,4,FALSE),0))*(1+IF($E22="Si",(Listini!$F$43-100)/100,0)+IF($F22="Si",(Listini!$F$44-100)/100,0)+IF($G22="Si",(Listini!$F$45-100)/100,0))+$I22*Listini!$D$46+'Riepilogo Fabbisogni'!J22*Listini!$D$47+'Riepilogo Fabbisogni'!K22*Listini!$D$48+'Riepilogo Fabbisogni'!L22*Listini!$D$49+$M22*Listini!$D$50,0)</f>
        <v>0</v>
      </c>
      <c r="P22" s="301">
        <f>IF($B22&lt;&gt;0,VLOOKUP($B22,Listini!$A$2:$AD$40,7,FALSE)*(1+IF($E22="Si",(Listini!$I$43-100)/100,0)+IF($G22="Si",(Listini!$I$45-100)/100,0)),0)</f>
        <v>0</v>
      </c>
      <c r="Q22" s="301">
        <f>IF($B22&lt;&gt;0,(VLOOKUP($B22,Listini!$A$2:$AD$40,8,FALSE)+IF($C22="Si",Listini!$H$41,0)+IF($D22="Si",Listini!$H$42,0)+IF($H22&lt;&gt;0,VLOOKUP($H22,Listini!$A$51:$AD$54,8,FALSE),0))*(1+IF($E22="Si",(Listini!$J$43-100)/100,0)+IF($F22="Si",(Listini!$J$44-100)/100,0)+IF($G22="Si",(Listini!$J$45-100)/100,0))+$I22*Listini!$H$46+'Riepilogo Fabbisogni'!J22*Listini!$H$47+'Riepilogo Fabbisogni'!K22*Listini!$H$48+'Riepilogo Fabbisogni'!L22*Listini!$H$49+$M22*Listini!$H$50,0)</f>
        <v>0</v>
      </c>
      <c r="R22" s="301">
        <f>IF($B22&lt;&gt;0,VLOOKUP($B22,Listini!$A$2:$AD$40,11,FALSE)*(1+IF($E22="Si",(Listini!$M$43-100)/100,0)+IF($G22="Si",(Listini!$M$45-100)/100,0)),0)</f>
        <v>0</v>
      </c>
      <c r="S22" s="301">
        <f>IF($B22&lt;&gt;0,(VLOOKUP($B22,Listini!$A$2:$AD$40,12,FALSE)+IF($C22="Si",Listini!$L$41,0)+IF($D22="Si",Listini!$L$42,0)+IF($H22&lt;&gt;0,VLOOKUP($H22,Listini!$A$51:$AD$54,12,FALSE),0))*(1+IF($E22="Si",(Listini!$N$43-100)/100,0)+IF($F22="Si",(Listini!$N$44-100)/100,0)+IF($G22="Si",(Listini!$N$45-100)/100,0))+$I22*Listini!$L$46+'Riepilogo Fabbisogni'!J22*Listini!$L$47+'Riepilogo Fabbisogni'!K22*Listini!$L$48+'Riepilogo Fabbisogni'!L22*Listini!$L$49+$M22*Listini!$L$50,0)</f>
        <v>0</v>
      </c>
      <c r="T22" s="302">
        <f>IF($B22&lt;&gt;0,VLOOKUP($B22,Listini!$A$2:$AD$40,15,FALSE)*(1+IF($E22="Si",(Listini!$Q$43-100)/100,0)+IF($G22="Si",(Listini!$Q$45-100)/100,0)),0)</f>
        <v>0</v>
      </c>
      <c r="U22" s="302">
        <f>IF($B22&lt;&gt;0,(VLOOKUP($B22,Listini!$A$2:$AD$40,16,FALSE)+IF($C22="Si",Listini!$P$41,0)+IF($D22="Si",Listini!$P$42,0)+IF($H22&lt;&gt;0,VLOOKUP($H22,Listini!$A$51:$AD$54,16,FALSE),0))*(1+IF($E22="Si",(Listini!$R$43-100)/100,0)+IF($F22="Si",(Listini!$R$44-100)/100,0)+IF($G22="Si",(Listini!$R$45-100)/100,0))+$I22*Listini!$P$46+'Riepilogo Fabbisogni'!J22*Listini!$P$47+'Riepilogo Fabbisogni'!K22*Listini!$P$48+'Riepilogo Fabbisogni'!L22*Listini!$P$49+$M22*Listini!$P$50,0)</f>
        <v>0</v>
      </c>
      <c r="V22" s="302">
        <f>IF($B22&lt;&gt;0,VLOOKUP($B22,Listini!$A$2:$AD$40,19,FALSE)*(1+IF($E22="Si",(Listini!$U$43-100)/100,0)+IF($G22="Si",(Listini!$U$45-100)/100,0)),0)</f>
        <v>0</v>
      </c>
      <c r="W22" s="302">
        <f>IF($B22&lt;&gt;0,(VLOOKUP($B22,Listini!$A$2:$AD$40,20,FALSE)+IF($C22="Si",Listini!$T$41,0)+IF($D22="Si",Listini!$T$42,0)+IF($H22&lt;&gt;0,VLOOKUP($H22,Listini!$A$51:$AD$54,20,FALSE),0))*(1+IF($E22="Si",(Listini!$V$43-100)/100,0)+IF($F22="Si",(Listini!$V$44-100)/100,0)+IF($G22="Si",(Listini!$V$45-100)/100,0))+$I22*Listini!$T$46+'Riepilogo Fabbisogni'!J22*Listini!$T$47+'Riepilogo Fabbisogni'!K22*Listini!$T$48+'Riepilogo Fabbisogni'!L22*Listini!$T$49+$M22*Listini!$T$50,0)</f>
        <v>0</v>
      </c>
      <c r="X22" s="302">
        <f>IF($B22&lt;&gt;0,VLOOKUP($B22,Listini!$A$2:$AD$40,23,FALSE)*(1+IF($E22="Si",(Listini!$Y$43-100)/100,0)+IF($G22="Si",(Listini!$Y$45-100)/100,0)),0)</f>
        <v>0</v>
      </c>
      <c r="Y22" s="302">
        <f>IF($B22&lt;&gt;0,(VLOOKUP($B22,Listini!$A$2:$AD$40,24,FALSE)+IF($C22="Si",Listini!$X$41,0)+IF($D22="Si",Listini!$X$42,0)+IF($H22&lt;&gt;0,VLOOKUP($H22,Listini!$A$51:$AD$54,24,FALSE),0))*(1+IF($E22="Si",(Listini!$Z$43-100)/100,0)+IF($F22="Si",(Listini!$Z$44-100)/100,0)+IF($G22="Si",(Listini!$Z$45-100)/100,0))+$I22*Listini!$X$46+'Riepilogo Fabbisogni'!J22*Listini!$X$47+'Riepilogo Fabbisogni'!K22*Listini!$X$48+'Riepilogo Fabbisogni'!L22*Listini!$X$49+$M22*Listini!$X$50,0)</f>
        <v>0</v>
      </c>
      <c r="Z22" s="302">
        <f>IF($B22&lt;&gt;0,VLOOKUP($B22,Listini!$A$2:$AD$40,27,FALSE)*(1+IF($E22="Si",(Listini!$AC$43-100)/100,0)+IF($G22="Si",(Listini!$AC$45-100)/100,0)),0)</f>
        <v>0</v>
      </c>
      <c r="AA22" s="302">
        <f>IF($B22&lt;&gt;0,(VLOOKUP($B22,Listini!$A$2:$AD$40,28,FALSE)+IF($C22="Si",Listini!$AB$41,0)+IF($D22="Si",Listini!$AB$42,0)+IF($H22&lt;&gt;0,VLOOKUP($H22,Listini!$A$51:$AD$54,28,FALSE),0))*(1+IF($E22="Si",(Listini!$AD$43-100)/100,0)+IF($F22="Si",(Listini!$AD$44-100)/100,0)+IF($G22="Si",(Listini!$AD$45-100)/100,0))+$I22*Listini!$AB$46+'Riepilogo Fabbisogni'!J22*Listini!$AB$47+'Riepilogo Fabbisogni'!K22*Listini!$AB$48+'Riepilogo Fabbisogni'!L22*Listini!$AB$49+$M22*Listini!$AB$50,0)</f>
        <v>0</v>
      </c>
      <c r="AB22" s="302">
        <f>IF($B22&lt;&gt;0,VLOOKUP($B22,'Listino Offerta'!$A$3:$F$40,3,FALSE)*(1+IF($E22="Si",('Listino Offerta'!$E$43-100)/100,0)+IF($G22="Si",('Listino Offerta'!$E$45-100)/100,0)),0)</f>
        <v>0</v>
      </c>
      <c r="AC22" s="302">
        <f>IF($B22&lt;&gt;0,(VLOOKUP($B22,'Listino Offerta'!$A$2:$AD$40,4,FALSE)+IF($C22="Si",'Listino Offerta'!$D$41,0)+IF($D22="Si",'Listino Offerta'!$D$42,0)+IF($H22&lt;&gt;0,VLOOKUP($H22,'Listino Offerta'!$A$51:$AD$54,4,FALSE),0))*(1+IF($E22="Si",('Listino Offerta'!$F$43-100)/100,0)+IF($F22="Si",('Listino Offerta'!$F$44-100)/100,0)+IF($G22="Si",('Listino Offerta'!$F$45-100)/100,0))+$I22*'Listino Offerta'!$D$46+'Riepilogo Fabbisogni'!J22*'Listino Offerta'!$D$47+'Riepilogo Fabbisogni'!K22*'Listino Offerta'!$D$48+'Riepilogo Fabbisogni'!L22*'Listino Offerta'!$D$49+$M22*'Listino Offerta'!$D$50,0)</f>
        <v>0</v>
      </c>
    </row>
    <row r="23" spans="1:18" s="302" customFormat="1" ht="12" customHeight="1">
      <c r="A23" s="303"/>
      <c r="B23" s="303"/>
      <c r="C23" s="303"/>
      <c r="D23" s="303"/>
      <c r="E23" s="303"/>
      <c r="F23" s="303"/>
      <c r="G23" s="303"/>
      <c r="H23" s="303"/>
      <c r="I23" s="303"/>
      <c r="J23" s="303"/>
      <c r="K23" s="303"/>
      <c r="L23" s="303"/>
      <c r="M23" s="304"/>
      <c r="N23" s="301">
        <f>IF(B23&lt;&gt;0,VLOOKUP(B23,Listini!$A$2:$D$40,3,FALSE)*(1+IF(E23="Si",(Listini!$E$43-100)/100,0)+IF(G23="Si",(Listini!$E$45-100)/100,0)),0)</f>
        <v>0</v>
      </c>
      <c r="O23" s="301"/>
      <c r="P23" s="301"/>
      <c r="Q23" s="301"/>
      <c r="R23" s="301"/>
    </row>
    <row r="24" spans="1:17" s="306" customFormat="1" ht="24" customHeight="1">
      <c r="A24" s="305" t="s">
        <v>220</v>
      </c>
      <c r="B24" s="454" t="s">
        <v>502</v>
      </c>
      <c r="C24" s="454"/>
      <c r="D24" s="454" t="s">
        <v>503</v>
      </c>
      <c r="E24" s="454"/>
      <c r="F24" s="454" t="s">
        <v>504</v>
      </c>
      <c r="G24" s="454"/>
      <c r="H24" s="454" t="s">
        <v>505</v>
      </c>
      <c r="I24" s="454"/>
      <c r="J24" s="454" t="s">
        <v>506</v>
      </c>
      <c r="K24" s="454"/>
      <c r="L24" s="454" t="s">
        <v>507</v>
      </c>
      <c r="M24" s="454"/>
      <c r="N24" s="454" t="s">
        <v>508</v>
      </c>
      <c r="O24" s="454"/>
      <c r="P24" s="454" t="s">
        <v>521</v>
      </c>
      <c r="Q24" s="454"/>
    </row>
    <row r="25" spans="1:17" s="302" customFormat="1" ht="49.5">
      <c r="A25" s="307" t="s">
        <v>221</v>
      </c>
      <c r="B25" s="297" t="s">
        <v>27</v>
      </c>
      <c r="C25" s="297" t="s">
        <v>501</v>
      </c>
      <c r="D25" s="297" t="s">
        <v>27</v>
      </c>
      <c r="E25" s="297" t="s">
        <v>501</v>
      </c>
      <c r="F25" s="297" t="s">
        <v>27</v>
      </c>
      <c r="G25" s="297" t="s">
        <v>501</v>
      </c>
      <c r="H25" s="297" t="s">
        <v>27</v>
      </c>
      <c r="I25" s="297" t="s">
        <v>501</v>
      </c>
      <c r="J25" s="297" t="s">
        <v>27</v>
      </c>
      <c r="K25" s="297" t="s">
        <v>501</v>
      </c>
      <c r="L25" s="297" t="s">
        <v>27</v>
      </c>
      <c r="M25" s="297" t="s">
        <v>501</v>
      </c>
      <c r="N25" s="297" t="s">
        <v>27</v>
      </c>
      <c r="O25" s="297" t="s">
        <v>501</v>
      </c>
      <c r="P25" s="297" t="s">
        <v>27</v>
      </c>
      <c r="Q25" s="297" t="s">
        <v>501</v>
      </c>
    </row>
    <row r="26" spans="1:17" s="302" customFormat="1" ht="12" customHeight="1">
      <c r="A26" s="302">
        <f>'Servizi di Posta Elettronica'!D4</f>
        <v>0</v>
      </c>
      <c r="B26" s="303">
        <f>$A26*Listini!$C$55</f>
        <v>0</v>
      </c>
      <c r="C26" s="303">
        <f>$A26*Listini!$D$55</f>
        <v>0</v>
      </c>
      <c r="D26" s="303">
        <f>$A26*Listini!$G$55</f>
        <v>0</v>
      </c>
      <c r="E26" s="303">
        <f>$A26*Listini!$H$55</f>
        <v>0</v>
      </c>
      <c r="F26" s="303">
        <f>$A26*Listini!$K$55</f>
        <v>0</v>
      </c>
      <c r="G26" s="303">
        <f>$A26*Listini!$L$55</f>
        <v>0</v>
      </c>
      <c r="H26" s="303">
        <f>$A26*Listini!$O$55</f>
        <v>0</v>
      </c>
      <c r="I26" s="303">
        <f>$A26*Listini!$P$55</f>
        <v>0</v>
      </c>
      <c r="J26" s="303">
        <f>$A26*Listini!$S$55</f>
        <v>0</v>
      </c>
      <c r="K26" s="303">
        <f>$A26*Listini!$T$55</f>
        <v>0</v>
      </c>
      <c r="L26" s="303">
        <f>$A26*Listini!$W$55</f>
        <v>0</v>
      </c>
      <c r="M26" s="303">
        <f>$A26*Listini!$X$55</f>
        <v>0</v>
      </c>
      <c r="N26" s="303">
        <f>$A26*Listini!$AA$55</f>
        <v>0</v>
      </c>
      <c r="O26" s="303">
        <f>$A26*Listini!$AB$55</f>
        <v>0</v>
      </c>
      <c r="P26" s="303">
        <f>$A26*'Listino Offerta'!$C$55</f>
        <v>0</v>
      </c>
      <c r="Q26" s="303">
        <f>$A26*'Listino Offerta'!$D$55</f>
        <v>0</v>
      </c>
    </row>
    <row r="27" spans="1:13" s="302" customFormat="1" ht="12" customHeight="1">
      <c r="A27" s="303"/>
      <c r="B27" s="303"/>
      <c r="C27" s="303"/>
      <c r="D27" s="303"/>
      <c r="E27" s="303"/>
      <c r="F27" s="303"/>
      <c r="G27" s="303"/>
      <c r="H27" s="303"/>
      <c r="I27" s="303"/>
      <c r="J27" s="303"/>
      <c r="K27" s="303"/>
      <c r="L27" s="303"/>
      <c r="M27" s="303"/>
    </row>
    <row r="28" spans="1:24" s="302" customFormat="1" ht="12" customHeight="1">
      <c r="A28" s="455" t="s">
        <v>222</v>
      </c>
      <c r="B28" s="457"/>
      <c r="C28" s="457"/>
      <c r="D28" s="457"/>
      <c r="E28" s="457"/>
      <c r="F28" s="457"/>
      <c r="G28" s="457"/>
      <c r="H28" s="456"/>
      <c r="I28" s="454" t="s">
        <v>502</v>
      </c>
      <c r="J28" s="454"/>
      <c r="K28" s="454" t="s">
        <v>503</v>
      </c>
      <c r="L28" s="454"/>
      <c r="M28" s="454" t="s">
        <v>504</v>
      </c>
      <c r="N28" s="454"/>
      <c r="O28" s="454" t="s">
        <v>505</v>
      </c>
      <c r="P28" s="454"/>
      <c r="Q28" s="454" t="s">
        <v>506</v>
      </c>
      <c r="R28" s="454"/>
      <c r="S28" s="454" t="s">
        <v>507</v>
      </c>
      <c r="T28" s="454"/>
      <c r="U28" s="454" t="s">
        <v>508</v>
      </c>
      <c r="V28" s="454"/>
      <c r="W28" s="454" t="s">
        <v>521</v>
      </c>
      <c r="X28" s="454"/>
    </row>
    <row r="29" spans="1:24" s="306" customFormat="1" ht="75">
      <c r="A29" s="295" t="s">
        <v>216</v>
      </c>
      <c r="B29" s="296" t="s">
        <v>217</v>
      </c>
      <c r="C29" s="305" t="s">
        <v>109</v>
      </c>
      <c r="D29" s="305" t="s">
        <v>107</v>
      </c>
      <c r="E29" s="305" t="s">
        <v>108</v>
      </c>
      <c r="F29" s="305" t="s">
        <v>80</v>
      </c>
      <c r="G29" s="305" t="s">
        <v>23</v>
      </c>
      <c r="H29" s="296" t="s">
        <v>494</v>
      </c>
      <c r="I29" s="297" t="s">
        <v>27</v>
      </c>
      <c r="J29" s="297" t="s">
        <v>501</v>
      </c>
      <c r="K29" s="297" t="s">
        <v>27</v>
      </c>
      <c r="L29" s="297" t="s">
        <v>501</v>
      </c>
      <c r="M29" s="297" t="s">
        <v>27</v>
      </c>
      <c r="N29" s="297" t="s">
        <v>501</v>
      </c>
      <c r="O29" s="297" t="s">
        <v>27</v>
      </c>
      <c r="P29" s="297" t="s">
        <v>501</v>
      </c>
      <c r="Q29" s="297" t="s">
        <v>27</v>
      </c>
      <c r="R29" s="297" t="s">
        <v>501</v>
      </c>
      <c r="S29" s="297" t="s">
        <v>27</v>
      </c>
      <c r="T29" s="297" t="s">
        <v>501</v>
      </c>
      <c r="U29" s="297" t="s">
        <v>27</v>
      </c>
      <c r="V29" s="297" t="s">
        <v>501</v>
      </c>
      <c r="W29" s="297" t="s">
        <v>27</v>
      </c>
      <c r="X29" s="297" t="s">
        <v>501</v>
      </c>
    </row>
    <row r="30" spans="1:24" s="302" customFormat="1" ht="12" customHeight="1">
      <c r="A30" s="303">
        <f>'Servizi di Sicurezza Perimetr.'!B6</f>
        <v>1</v>
      </c>
      <c r="B30" s="303">
        <f>IF('Servizi di Sicurezza Perimetr.'!D6&lt;&gt;"SCEN",'Servizi di Sicurezza Perimetr.'!D6,'Servizi di Trasporto Dati'!AI5)</f>
        <v>0</v>
      </c>
      <c r="C30" s="303">
        <f>'Servizi di Sicurezza Perimetr.'!E6</f>
        <v>0</v>
      </c>
      <c r="D30" s="303">
        <f>'Servizi di Sicurezza Perimetr.'!F6</f>
        <v>0</v>
      </c>
      <c r="E30" s="303">
        <f>'Servizi di Sicurezza Perimetr.'!G6</f>
        <v>0</v>
      </c>
      <c r="F30" s="303">
        <f>IF(AND('Servizi di Sicurezza Perimetr.'!$H$6="Si",'Servizi di Sicurezza Perimetr.'!$I$6&lt;&gt;"Si"),"Si","")</f>
      </c>
      <c r="G30" s="303">
        <f>IF(AND('Servizi di Sicurezza Perimetr.'!$H$6&lt;&gt;"Si",'Servizi di Sicurezza Perimetr.'!$I$6="Si"),"Si","")</f>
      </c>
      <c r="H30" s="303">
        <f>IF(AND('Servizi di Sicurezza Perimetr.'!$H$6="Si",'Servizi di Sicurezza Perimetr.'!$I$6="Si"),"Si","")</f>
      </c>
      <c r="I30" s="301">
        <f>IF(B30&lt;&gt;0,VLOOKUP(B30,Listini!$A$56:$AD$84,3,FALSE)*(1+IF(F30="Si",(Listini!$E$103-100)/100,0)+IF(H30="Si",(Listini!$E$105-100)/100,0)),0)</f>
        <v>0</v>
      </c>
      <c r="J30" s="301">
        <f>IF(B30&lt;&gt;0,(VLOOKUP(B30,Listini!$A$56:$AD$84,4,FALSE)+IF(C30="Si",VLOOKUP(CONCATENATE(B30,"-AACF"),Listini!$A$85:$AD$90,4,FALSE),0)+IF(D30="Si",VLOOKUP(CONCATENATE(B30,"-AFM"),Listini!$A$91:$AD$96,4,FALSE),0)+IF(E30="Si",VLOOKUP(CONCATENATE(B30,"-VPN"),Listini!$A$97:$AD$102,4,FALSE),0))*(1+IF(F30="Si",(Listini!$F$103-100)/100,0)+IF(G30="Si",(Listini!$F$104-100)/100,0)+IF(H30="Si",(Listini!$F$105-100)/100,0)),0)</f>
        <v>0</v>
      </c>
      <c r="K30" s="301">
        <f>IF(B30&lt;&gt;0,VLOOKUP(B30,Listini!$A$56:$AD$84,7,FALSE)*(1+IF(F30="Si",(Listini!$I$103-100)/100,0)+IF(H30="Si",(Listini!$I$105-100)/100,0)),0)</f>
        <v>0</v>
      </c>
      <c r="L30" s="301">
        <f>IF(B30&lt;&gt;0,(VLOOKUP(B30,Listini!$A$56:$AD$84,8,FALSE)+IF(C30="Si",VLOOKUP(CONCATENATE(B30,"-AACF"),Listini!$A$85:$AD$90,8,FALSE),0)+IF(D30="Si",VLOOKUP(CONCATENATE(B30,"-AFM"),Listini!$A$91:$AD$96,8,FALSE),0)+IF(E30="Si",VLOOKUP(CONCATENATE(B30,"-VPN"),Listini!$A$97:$AD$102,8,FALSE),0))*(1+IF(F30="Si",(Listini!$J$103-100)/100,0)+IF(G30="Si",(Listini!$J$104-100)/100,0)+IF(H30="Si",(Listini!$J$105-100)/100,0)),0)</f>
        <v>0</v>
      </c>
      <c r="M30" s="301">
        <f>IF(B30&lt;&gt;0,VLOOKUP(B30,Listini!$A$56:$AD$84,11,FALSE)*(1+IF(F30="Si",(Listini!$M$103-100)/100,0)+IF(H30="Si",(Listini!$M$105-100)/100,0)),0)</f>
        <v>0</v>
      </c>
      <c r="N30" s="308">
        <f>IF(B30&lt;&gt;0,(VLOOKUP(B30,Listini!$A$56:$AD$84,12,FALSE)+IF(C30="Si",VLOOKUP(CONCATENATE(B30,"-AACF"),Listini!$A$85:$AD$90,12,FALSE),0)+IF(D30="Si",VLOOKUP(CONCATENATE(B30,"-AFM"),Listini!$A$91:$AD$96,12,FALSE),0)+IF(E30="Si",VLOOKUP(CONCATENATE(B30,"-VPN"),Listini!$A$97:$AD$102,12,FALSE),0))*(1+IF(F30="Si",(Listini!$N$103-100)/100,0)+IF(G30="Si",(Listini!$N$104-100)/100,0)+IF(H30="Si",(Listini!$N$105-100)/100,0)),0)</f>
        <v>0</v>
      </c>
      <c r="O30" s="302">
        <f>IF(B30&lt;&gt;0,VLOOKUP(B30,Listini!$A$56:$AD$84,15,FALSE)*(1+IF(F30="Si",(Listini!$Q$103-100)/100,0)+IF(H30="Si",(Listini!$Q$105-100)/100,0)),0)</f>
        <v>0</v>
      </c>
      <c r="P30" s="302">
        <f>IF(B30&lt;&gt;0,(VLOOKUP(B30,Listini!$A$56:$AD$84,16,FALSE)+IF(C30="Si",VLOOKUP(CONCATENATE(B30,"-AACF"),Listini!$A$85:$AD$90,16,FALSE),0)+IF(D30="Si",VLOOKUP(CONCATENATE(B30,"-AFM"),Listini!$A$91:$AD$96,16,FALSE),0)+IF(E30="Si",VLOOKUP(CONCATENATE(B30,"-VPN"),Listini!$A$97:$AD$102,16,FALSE),0))*(1+IF(F30="Si",(Listini!$R$103-100)/100,0)+IF(G30="Si",(Listini!$R$104-100)/100,0)+IF(H30="Si",(Listini!$R$105-100)/100,0)),0)</f>
        <v>0</v>
      </c>
      <c r="Q30" s="302">
        <f>IF(B30&lt;&gt;0,VLOOKUP(B30,Listini!$A$56:$AD$84,19,FALSE)*(1+IF(F30="Si",(Listini!$U$103-100)/100,0)+IF(H30="Si",(Listini!$U$105-100)/100,0)),0)</f>
        <v>0</v>
      </c>
      <c r="R30" s="302">
        <f>IF(B30&lt;&gt;0,(VLOOKUP(B30,Listini!$A$56:$AD$84,20,FALSE)+IF(C30="Si",VLOOKUP(CONCATENATE(B30,"-AACF"),Listini!$A$85:$AD$90,20,FALSE),0)+IF(D30="Si",VLOOKUP(CONCATENATE(B30,"-AFM"),Listini!$A$91:$AD$96,20,FALSE),0)+IF(E30="Si",VLOOKUP(CONCATENATE(B30,"-VPN"),Listini!$A$97:$AD$102,20,FALSE),0))*(1+IF(F30="Si",(Listini!$V$103-100)/100,0)+IF(G30="Si",(Listini!$V$104-100)/100,0)+IF(H30="Si",(Listini!$V$105-100)/100,0)),0)</f>
        <v>0</v>
      </c>
      <c r="S30" s="302">
        <f>IF(B30&lt;&gt;0,VLOOKUP(B30,Listini!$A$56:$AD$84,23,FALSE)*(1+IF(F30="Si",(Listini!$Y$103-100)/100,0)+IF(H30="Si",(Listini!$Y$105-100)/100,0)),0)</f>
        <v>0</v>
      </c>
      <c r="T30" s="302">
        <f>IF(B30&lt;&gt;0,(VLOOKUP(B30,Listini!$A$56:$AD$84,24,FALSE)+IF(C30="Si",VLOOKUP(CONCATENATE(B30,"-AACF"),Listini!$A$85:$AD$90,24,FALSE),0)+IF(D30="Si",VLOOKUP(CONCATENATE(B30,"-AFM"),Listini!$A$91:$AD$96,24,FALSE),0)+IF(E30="Si",VLOOKUP(CONCATENATE(B30,"-VPN"),Listini!$A$97:$AD$102,24,FALSE),0))*(1+IF(F30="Si",(Listini!$Z$103-100)/100,0)+IF(G30="Si",(Listini!$Z$104-100)/100,0)+IF(H30="Si",(Listini!$Z$105-100)/100,0)),0)</f>
        <v>0</v>
      </c>
      <c r="U30" s="302">
        <f>IF(B30&lt;&gt;0,VLOOKUP(B30,Listini!$A$56:$AD$84,27,FALSE)*(1+IF(F30="Si",(Listini!$AC$103-100)/100,0)+IF(H30="Si",(Listini!$AC$105-100)/100,0)),0)</f>
        <v>0</v>
      </c>
      <c r="V30" s="308">
        <f>IF(B30&lt;&gt;0,(VLOOKUP(B30,Listini!$A$56:$AD$84,28,FALSE)+IF(C30="Si",VLOOKUP(CONCATENATE(B30,"-AACF"),Listini!$A$85:$AD$90,28,FALSE),0)+IF(D30="Si",VLOOKUP(CONCATENATE(B30,"-AFM"),Listini!$A$91:$AD$96,28,FALSE),0)+IF(E30="Si",VLOOKUP(CONCATENATE(B30,"-VPN"),Listini!$A$97:$AD$102,28,FALSE),0))*(1+IF(F30="Si",(Listini!$AD$103-100)/100,0)+IF(G30="Si",(Listini!$AD$104-100)/100,0)+IF(H30="Si",(Listini!$AD$105-100)/100,0)),0)</f>
        <v>0</v>
      </c>
      <c r="W30" s="302">
        <f>IF(B30&lt;&gt;0,VLOOKUP(B30,'Listino Offerta'!$A$56:$AD$84,3,FALSE)*(1+IF(F30="Si",('Listino Offerta'!$E$103-100)/100,0)+IF(H30="Si",('Listino Offerta'!$E$105-100)/100,0)),0)</f>
        <v>0</v>
      </c>
      <c r="X30" s="302">
        <f>IF(B30&lt;&gt;0,(VLOOKUP(B30,'Listino Offerta'!$A$56:$AD$84,4,FALSE)+IF(C30="Si",VLOOKUP(CONCATENATE(B30,"-AACF"),'Listino Offerta'!$A$85:$AD$90,4,FALSE),0)+IF(D30="Si",VLOOKUP(CONCATENATE(B30,"-AFM"),'Listino Offerta'!$A$91:$AD$96,4,FALSE),0)+IF(E30="Si",VLOOKUP(CONCATENATE(B30,"-VPN"),'Listino Offerta'!$A$97:$AD$102,4,FALSE),0))*(1+IF(F30="Si",('Listino Offerta'!$F$103-100)/100,0)+IF(G30="Si",('Listino Offerta'!$F$104-100)/100,0)+IF(H30="Si",('Listino Offerta'!$F$105-100)/100,0)),0)</f>
        <v>0</v>
      </c>
    </row>
    <row r="31" spans="1:13" s="302" customFormat="1" ht="12" customHeight="1">
      <c r="A31" s="303"/>
      <c r="B31" s="303"/>
      <c r="C31" s="303"/>
      <c r="D31" s="303"/>
      <c r="E31" s="303"/>
      <c r="F31" s="303"/>
      <c r="G31" s="303"/>
      <c r="H31" s="303"/>
      <c r="I31" s="303"/>
      <c r="J31" s="303"/>
      <c r="K31" s="303"/>
      <c r="L31" s="303"/>
      <c r="M31" s="303"/>
    </row>
    <row r="32" spans="1:24" s="302" customFormat="1" ht="12" customHeight="1">
      <c r="A32" s="455" t="s">
        <v>223</v>
      </c>
      <c r="B32" s="457"/>
      <c r="C32" s="457"/>
      <c r="D32" s="457"/>
      <c r="E32" s="457"/>
      <c r="F32" s="456"/>
      <c r="G32" s="303"/>
      <c r="H32" s="303"/>
      <c r="I32" s="454" t="s">
        <v>502</v>
      </c>
      <c r="J32" s="454"/>
      <c r="K32" s="454" t="s">
        <v>503</v>
      </c>
      <c r="L32" s="454"/>
      <c r="M32" s="454" t="s">
        <v>504</v>
      </c>
      <c r="N32" s="454"/>
      <c r="O32" s="454" t="s">
        <v>505</v>
      </c>
      <c r="P32" s="454"/>
      <c r="Q32" s="454" t="s">
        <v>506</v>
      </c>
      <c r="R32" s="454"/>
      <c r="S32" s="454" t="s">
        <v>507</v>
      </c>
      <c r="T32" s="454"/>
      <c r="U32" s="454" t="s">
        <v>508</v>
      </c>
      <c r="V32" s="454"/>
      <c r="W32" s="454" t="s">
        <v>521</v>
      </c>
      <c r="X32" s="454"/>
    </row>
    <row r="33" spans="1:24" s="306" customFormat="1" ht="62.25">
      <c r="A33" s="295" t="s">
        <v>216</v>
      </c>
      <c r="B33" s="296" t="s">
        <v>217</v>
      </c>
      <c r="C33" s="306" t="s">
        <v>499</v>
      </c>
      <c r="D33" s="305" t="s">
        <v>30</v>
      </c>
      <c r="E33" s="305" t="s">
        <v>114</v>
      </c>
      <c r="F33" s="305" t="s">
        <v>80</v>
      </c>
      <c r="G33" s="305" t="s">
        <v>23</v>
      </c>
      <c r="H33" s="296" t="s">
        <v>494</v>
      </c>
      <c r="I33" s="297" t="s">
        <v>27</v>
      </c>
      <c r="J33" s="297" t="s">
        <v>501</v>
      </c>
      <c r="K33" s="297" t="s">
        <v>27</v>
      </c>
      <c r="L33" s="297" t="s">
        <v>501</v>
      </c>
      <c r="M33" s="297" t="s">
        <v>27</v>
      </c>
      <c r="N33" s="297" t="s">
        <v>501</v>
      </c>
      <c r="O33" s="297" t="s">
        <v>27</v>
      </c>
      <c r="P33" s="297" t="s">
        <v>501</v>
      </c>
      <c r="Q33" s="297" t="s">
        <v>27</v>
      </c>
      <c r="R33" s="297" t="s">
        <v>501</v>
      </c>
      <c r="S33" s="297" t="s">
        <v>27</v>
      </c>
      <c r="T33" s="297" t="s">
        <v>501</v>
      </c>
      <c r="U33" s="297" t="s">
        <v>27</v>
      </c>
      <c r="V33" s="297" t="s">
        <v>501</v>
      </c>
      <c r="W33" s="297" t="s">
        <v>27</v>
      </c>
      <c r="X33" s="297" t="s">
        <v>501</v>
      </c>
    </row>
    <row r="34" spans="1:24" s="302" customFormat="1" ht="12" customHeight="1">
      <c r="A34" s="295">
        <f>'Servizi Com. Evoluta - VoIP'!B6</f>
        <v>0</v>
      </c>
      <c r="B34" s="295">
        <f>'Servizi Com. Evoluta - VoIP'!D6</f>
        <v>0</v>
      </c>
      <c r="C34" s="302">
        <f>'Servizi Com. Evoluta - VoIP'!$E$6</f>
        <v>0</v>
      </c>
      <c r="D34" s="295">
        <f>'Servizi Com. Evoluta - VoIP'!F6</f>
        <v>0</v>
      </c>
      <c r="E34" s="295">
        <f>'Servizi Com. Evoluta - VoIP'!G6</f>
        <v>0</v>
      </c>
      <c r="F34" s="295">
        <f>IF(AND('Servizi Com. Evoluta - VoIP'!$H$6="Si",'Servizi Com. Evoluta - VoIP'!$I$6&lt;&gt;"Si"),"Si","")</f>
      </c>
      <c r="G34" s="295">
        <f>IF(AND('Servizi Com. Evoluta - VoIP'!$H$6&lt;&gt;"Si",'Servizi Com. Evoluta - VoIP'!$I$6="Si"),"Si","")</f>
      </c>
      <c r="H34" s="295">
        <f>IF(AND('Servizi Com. Evoluta - VoIP'!$H$6="Si",'Servizi Com. Evoluta - VoIP'!$I$6="Si"),"Si","")</f>
      </c>
      <c r="I34" s="301">
        <f>IF(B34&lt;&gt;0,VLOOKUP(B34,Listini!$A$106:$AD$109,3,FALSE)*C34*(1+IF(F34="Si",(Listini!$E$153-100)/100,0)+IF(H34="Si",(Listini!$E$155-100)/100,0)),0)</f>
        <v>0</v>
      </c>
      <c r="J34" s="301">
        <f>IF(B34&lt;&gt;0,(VLOOKUP(B34,Listini!$A$106:$AD$109,4,FALSE)*C34+IF(D34&lt;&gt;0,VLOOKUP(CONCATENATE(B34,"-ST"),Listini!$A$139:$AD$142,4,FALSE)*D34,0)+IF(E34&lt;&gt;0,VLOOKUP(CONCATENATE(B34,"-BR"),Listini!$A$143:$AD$146,4,FALSE)*E34,0))*(1+IF(F34="Si",(Listini!$F$153-100)/100,0)+IF(G34="Si",(Listini!$F$154-100)/100,0)+IF(H34="Si",(Listini!$F$155-100)/100,0)),0)</f>
        <v>0</v>
      </c>
      <c r="K34" s="301">
        <f>IF(B34&lt;&gt;0,VLOOKUP(B34,Listini!$A$106:$AD$109,7,FALSE)*C34*(1+IF(F34="Si",(Listini!$I$153-100)/100,0)+IF(H34="Si",(Listini!$I$155-100)/100,0)),0)</f>
        <v>0</v>
      </c>
      <c r="L34" s="301">
        <f>IF(B34&lt;&gt;0,(VLOOKUP(B34,Listini!$A$106:$AD$109,8,FALSE)*C34+IF(D34&lt;&gt;0,VLOOKUP(CONCATENATE(B34,"-ST"),Listini!$A$139:$AD$142,8,FALSE)*D34,0)+IF(E34&lt;&gt;0,VLOOKUP(CONCATENATE(B34,"-BR"),Listini!$A$143:$AD$146,8,FALSE)*E34,0))*(1+IF(F34="Si",(Listini!$J$153-100)/100,0)+IF(G34="Si",(Listini!$J$154-100)/100,0)+IF(H34="Si",(Listini!$J$155-100)/100,0)),0)</f>
        <v>0</v>
      </c>
      <c r="M34" s="301">
        <f>IF(B34&lt;&gt;0,VLOOKUP(B34,Listini!$A$106:$AD$109,11,FALSE)*C34*(1+IF(F34="Si",(Listini!$M$153-100)/100,0)+IF(H34="Si",(Listini!$M$155-100)/100,0)),0)</f>
        <v>0</v>
      </c>
      <c r="N34" s="302">
        <f>IF(B34&lt;&gt;0,(VLOOKUP(B34,Listini!$A$106:$AD$109,12,FALSE)*C34+IF(D34&lt;&gt;0,VLOOKUP(CONCATENATE(B34,"-ST"),Listini!$A$139:$AD$142,12,FALSE)*D34,0)+IF(E34&lt;&gt;0,VLOOKUP(CONCATENATE(B34,"-BR"),Listini!$A$143:$AD$146,12,FALSE)*E34,0))*(1+IF(F34="Si",(Listini!$N$153-100)/100,0)+IF(G34="Si",(Listini!$N$154-100)/100,0)+IF(H34="Si",(Listini!$N$155-100)/100,0)),0)</f>
        <v>0</v>
      </c>
      <c r="O34" s="302">
        <f>IF(B34&lt;&gt;0,VLOOKUP(B34,Listini!$A$106:$AD$109,15,FALSE)*C34*(1+IF(F34="Si",(Listini!$Q$153-100)/100,0)+IF(H34="Si",(Listini!$Q$155-100)/100,0)),0)</f>
        <v>0</v>
      </c>
      <c r="P34" s="302">
        <f>IF(B34&lt;&gt;0,(VLOOKUP(B34,Listini!$A$106:$AD$109,16,FALSE)*C34+IF(D34&lt;&gt;0,VLOOKUP(CONCATENATE(B34,"-ST"),Listini!$A$139:$AD$142,16,FALSE)*D34,0)+IF(E34&lt;&gt;0,VLOOKUP(CONCATENATE(B34,"-BR"),Listini!$A$143:$AD$146,16,FALSE)*E34,0))*(1+IF(F34="Si",(Listini!$R$153-100)/100,0)+IF(G34="Si",(Listini!$R$154-100)/100,0)+IF(H34="Si",(Listini!$R$155-100)/100,0)),0)</f>
        <v>0</v>
      </c>
      <c r="Q34" s="302">
        <f>IF(B34&lt;&gt;0,VLOOKUP(B34,Listini!$A$106:$AD$109,19,FALSE)*C34*(1+IF(F34="Si",(Listini!$U$153-100)/100,0)+IF(H34="Si",(Listini!$U$155-100)/100,0)),0)</f>
        <v>0</v>
      </c>
      <c r="R34" s="302">
        <f>IF(B34&lt;&gt;0,(VLOOKUP(B34,Listini!$A$106:$AD$109,20,FALSE)*C34+IF(D34&lt;&gt;0,VLOOKUP(CONCATENATE(B34,"-ST"),Listini!$A$139:$AD$142,20,FALSE)*D34,0)+IF(E34&lt;&gt;0,VLOOKUP(CONCATENATE(B34,"-BR"),Listini!$A$143:$AD$146,20,FALSE)*E34,0))*(1+IF(F34="Si",(Listini!$V$153-100)/100,0)+IF(G34="Si",(Listini!$V$154-100)/100,0)+IF(H34="Si",(Listini!$V$155-100)/100,0)),0)</f>
        <v>0</v>
      </c>
      <c r="S34" s="302">
        <f>IF(B34&lt;&gt;0,VLOOKUP(B34,Listini!$A$106:$AD$109,23,FALSE)*C34*(1+IF(F34="Si",(Listini!$Y$153-100)/100,0)+IF(H34="Si",(Listini!$Y$155-100)/100,0)),0)</f>
        <v>0</v>
      </c>
      <c r="T34" s="302">
        <f>IF(B34&lt;&gt;0,(VLOOKUP(B34,Listini!$A$106:$AD$109,24,FALSE)*C34+IF(D34&lt;&gt;0,VLOOKUP(CONCATENATE(B34,"-ST"),Listini!$A$139:$AD$142,24,FALSE)*D34,0)+IF(E34&lt;&gt;0,VLOOKUP(CONCATENATE(B34,"-BR"),Listini!$A$143:$AD$146,24,FALSE)*E34,0))*(1+IF(F34="Si",(Listini!$Z$153-100)/100,0)+IF(G34="Si",(Listini!$Z$154-100)/100,0)+IF(H34="Si",(Listini!$Z$155-100)/100,0)),0)</f>
        <v>0</v>
      </c>
      <c r="U34" s="302">
        <f>IF(B34&lt;&gt;0,VLOOKUP(B34,Listini!$A$106:$AD$109,27,FALSE)*C34*(1+IF(F34="Si",(Listini!$AC$153-100)/100,0)+IF(H34="Si",(Listini!$AC$155-100)/100,0)),0)</f>
        <v>0</v>
      </c>
      <c r="V34" s="302">
        <f>IF(B34&lt;&gt;0,(VLOOKUP(B34,Listini!$A$106:$AD$109,28,FALSE)*C34+IF(D34&lt;&gt;0,VLOOKUP(CONCATENATE(B34,"-ST"),Listini!$A$139:$AD$142,28,FALSE)*D34,0)+IF(E34&lt;&gt;0,VLOOKUP(CONCATENATE(B34,"-BR"),Listini!$A$143:$AD$146,28,FALSE)*E34,0))*(1+IF(F34="Si",(Listini!$AD$153-100)/100,0)+IF(G34="Si",(Listini!$AD$154-100)/100,0)+IF(H34="Si",(Listini!$AD$155-100)/100,0)),0)</f>
        <v>0</v>
      </c>
      <c r="W34" s="302">
        <f>IF(B34&lt;&gt;0,VLOOKUP(B34,'Listino Offerta'!$A$106:$AD$109,3,FALSE)*C34*(1+IF(F34="Si",('Listino Offerta'!$E$153-100)/100,0)+IF(H34="Si",('Listino Offerta'!$E$155-100)/100,0)),0)</f>
        <v>0</v>
      </c>
      <c r="X34" s="302">
        <f>IF(B34&lt;&gt;0,(VLOOKUP(B34,'Listino Offerta'!$A$106:$AD$109,4,FALSE)*C34+IF(D34&lt;&gt;0,VLOOKUP(CONCATENATE(B34,"-ST"),'Listino Offerta'!$A$139:$AD$142,4,FALSE)*D34,0)+IF(E34&lt;&gt;0,VLOOKUP(CONCATENATE(B34,"-BR"),'Listino Offerta'!$A$143:$AD$146,4,FALSE)*E34,0))*(1+IF(F34="Si",('Listino Offerta'!$F$153-100)/100,0)+IF(G34="Si",('Listino Offerta'!$F$154-100)/100,0)+IF(H34="Si",('Listino Offerta'!$F$155-100)/100,0)),0)</f>
        <v>0</v>
      </c>
    </row>
    <row r="35" spans="1:13" s="302" customFormat="1" ht="12" customHeight="1">
      <c r="A35" s="303"/>
      <c r="B35" s="303"/>
      <c r="C35" s="303"/>
      <c r="D35" s="303"/>
      <c r="E35" s="303"/>
      <c r="F35" s="303"/>
      <c r="G35" s="303"/>
      <c r="H35" s="303"/>
      <c r="I35" s="303"/>
      <c r="J35" s="303"/>
      <c r="K35" s="303"/>
      <c r="L35" s="303"/>
      <c r="M35" s="303"/>
    </row>
    <row r="36" spans="1:20" s="302" customFormat="1" ht="12" customHeight="1">
      <c r="A36" s="455" t="s">
        <v>224</v>
      </c>
      <c r="B36" s="457"/>
      <c r="C36" s="456"/>
      <c r="D36" s="303"/>
      <c r="E36" s="454" t="s">
        <v>502</v>
      </c>
      <c r="F36" s="454"/>
      <c r="G36" s="454" t="s">
        <v>503</v>
      </c>
      <c r="H36" s="454"/>
      <c r="I36" s="454" t="s">
        <v>504</v>
      </c>
      <c r="J36" s="454"/>
      <c r="K36" s="454" t="s">
        <v>505</v>
      </c>
      <c r="L36" s="454"/>
      <c r="M36" s="454" t="s">
        <v>506</v>
      </c>
      <c r="N36" s="454"/>
      <c r="O36" s="454" t="s">
        <v>507</v>
      </c>
      <c r="P36" s="454"/>
      <c r="Q36" s="454" t="s">
        <v>508</v>
      </c>
      <c r="R36" s="454"/>
      <c r="S36" s="454" t="s">
        <v>521</v>
      </c>
      <c r="T36" s="454"/>
    </row>
    <row r="37" spans="1:20" s="306" customFormat="1" ht="49.5">
      <c r="A37" s="295" t="s">
        <v>216</v>
      </c>
      <c r="B37" s="296" t="s">
        <v>217</v>
      </c>
      <c r="C37" s="306" t="s">
        <v>496</v>
      </c>
      <c r="D37" s="305" t="s">
        <v>23</v>
      </c>
      <c r="E37" s="297" t="s">
        <v>27</v>
      </c>
      <c r="F37" s="297" t="s">
        <v>501</v>
      </c>
      <c r="G37" s="297" t="s">
        <v>27</v>
      </c>
      <c r="H37" s="297" t="s">
        <v>501</v>
      </c>
      <c r="I37" s="297" t="s">
        <v>27</v>
      </c>
      <c r="J37" s="297" t="s">
        <v>501</v>
      </c>
      <c r="K37" s="297" t="s">
        <v>27</v>
      </c>
      <c r="L37" s="297" t="s">
        <v>501</v>
      </c>
      <c r="M37" s="297" t="s">
        <v>27</v>
      </c>
      <c r="N37" s="297" t="s">
        <v>501</v>
      </c>
      <c r="O37" s="297" t="s">
        <v>27</v>
      </c>
      <c r="P37" s="297" t="s">
        <v>501</v>
      </c>
      <c r="Q37" s="297" t="s">
        <v>27</v>
      </c>
      <c r="R37" s="297" t="s">
        <v>501</v>
      </c>
      <c r="S37" s="297" t="s">
        <v>27</v>
      </c>
      <c r="T37" s="297" t="s">
        <v>501</v>
      </c>
    </row>
    <row r="38" spans="1:20" s="302" customFormat="1" ht="12" customHeight="1">
      <c r="A38" s="303">
        <f>'Servizi Com. Evoluta - VoIP'!B6</f>
        <v>0</v>
      </c>
      <c r="B38" s="303">
        <f>'Servizi Com. Evoluta - VoIP'!J6</f>
        <v>0</v>
      </c>
      <c r="C38" s="302">
        <f>'Servizi Com. Evoluta - VoIP'!$K$6</f>
        <v>0</v>
      </c>
      <c r="D38" s="303">
        <f>'Servizi Com. Evoluta - VoIP'!L6</f>
        <v>0</v>
      </c>
      <c r="E38" s="303">
        <f>IF(B38&lt;&gt;0,VLOOKUP(B38,Listini!$A$110:$AD$117,3,FALSE)*C38,0)</f>
        <v>0</v>
      </c>
      <c r="F38" s="303">
        <f>IF(B38&lt;&gt;0,(VLOOKUP(B38,Listini!$A$110:$AD$117,4,FALSE)*C38)*(1+IF(D38="Si",(Listini!$F$154-100)/100,0)),0)</f>
        <v>0</v>
      </c>
      <c r="G38" s="303">
        <f>IF(B38&lt;&gt;0,VLOOKUP(B38,Listini!$A$110:$AD$117,7,FALSE)*C38,0)</f>
        <v>0</v>
      </c>
      <c r="H38" s="303">
        <f>IF(B38&lt;&gt;0,(VLOOKUP(B38,Listini!$A$110:$AD$117,8,FALSE)*C38)*(1+IF(D38="Si",(Listini!$J$154-100)/100,0)),0)</f>
        <v>0</v>
      </c>
      <c r="I38" s="303">
        <f>IF(B38&lt;&gt;0,VLOOKUP(B38,Listini!$A$110:$AD$117,11,FALSE)*C38,0)</f>
        <v>0</v>
      </c>
      <c r="J38" s="303">
        <f>IF(B38&lt;&gt;0,(VLOOKUP(B38,Listini!$A$110:$AD$117,12,FALSE)*C38)*(1+IF(D38="Si",(Listini!$N$154-100)/100,0)),0)</f>
        <v>0</v>
      </c>
      <c r="K38" s="303">
        <f>IF(B38&lt;&gt;0,VLOOKUP(B38,Listini!$A$110:$AD$117,15,FALSE)*C38,0)</f>
        <v>0</v>
      </c>
      <c r="L38" s="303">
        <f>IF(B38&lt;&gt;0,(VLOOKUP(B38,Listini!$A$110:$AD$117,16,FALSE)*C38)*(1+IF(D38="Si",(Listini!$R$154-100)/100,0)),0)</f>
        <v>0</v>
      </c>
      <c r="M38" s="303">
        <f>IF(B38&lt;&gt;0,VLOOKUP(B38,Listini!$A$110:$AD$117,19,FALSE)*C38,0)</f>
        <v>0</v>
      </c>
      <c r="N38" s="303">
        <f>IF(B38&lt;&gt;0,(VLOOKUP(B38,Listini!$A$110:$AD$117,20,FALSE)*C38)*(1+IF(D38="Si",(Listini!$V$154-100)/100,0)),0)</f>
        <v>0</v>
      </c>
      <c r="O38" s="303">
        <f>IF(B38&lt;&gt;0,VLOOKUP(B38,Listini!$A$110:$AD$117,23,FALSE)*C38,0)</f>
        <v>0</v>
      </c>
      <c r="P38" s="303">
        <f>IF(B38&lt;&gt;0,(VLOOKUP(B38,Listini!$A$110:$AD$117,24,FALSE)*C38)*(1+IF(D38="Si",(Listini!$Z$154-100)/100,0)),0)</f>
        <v>0</v>
      </c>
      <c r="Q38" s="303">
        <f>IF(B38&lt;&gt;0,VLOOKUP(B38,Listini!$A$110:$AD$117,27,FALSE)*C38,0)</f>
        <v>0</v>
      </c>
      <c r="R38" s="303">
        <f>IF(B38&lt;&gt;0,(VLOOKUP(B38,Listini!$A$110:$AD$117,28,FALSE)*C38)*(1+IF(D38="Si",(Listini!$AD$154-100)/100,0)),0)</f>
        <v>0</v>
      </c>
      <c r="S38" s="302">
        <f>IF(B38&lt;&gt;0,VLOOKUP(B38,'Listino Offerta'!$A$110:$AD$117,3,FALSE)*C38,0)</f>
        <v>0</v>
      </c>
      <c r="T38" s="302">
        <f>IF(B38&lt;&gt;0,(VLOOKUP(B38,'Listino Offerta'!$A$110:$AD$117,4,FALSE)*C38)*(1+IF(D38="Si",('Listino Offerta'!$F$154-100)/100,0)),0)</f>
        <v>0</v>
      </c>
    </row>
    <row r="39" spans="1:13" s="302" customFormat="1" ht="12" customHeight="1">
      <c r="A39" s="303"/>
      <c r="B39" s="303"/>
      <c r="C39" s="303"/>
      <c r="D39" s="303"/>
      <c r="E39" s="303"/>
      <c r="F39" s="303"/>
      <c r="G39" s="303"/>
      <c r="H39" s="303"/>
      <c r="I39" s="303"/>
      <c r="J39" s="303"/>
      <c r="K39" s="303"/>
      <c r="L39" s="303"/>
      <c r="M39" s="303"/>
    </row>
    <row r="40" spans="1:19" s="302" customFormat="1" ht="12" customHeight="1">
      <c r="A40" s="455" t="s">
        <v>225</v>
      </c>
      <c r="B40" s="457"/>
      <c r="C40" s="456"/>
      <c r="D40" s="454" t="s">
        <v>502</v>
      </c>
      <c r="E40" s="454"/>
      <c r="F40" s="454" t="s">
        <v>503</v>
      </c>
      <c r="G40" s="454"/>
      <c r="H40" s="454" t="s">
        <v>504</v>
      </c>
      <c r="I40" s="454"/>
      <c r="J40" s="454" t="s">
        <v>505</v>
      </c>
      <c r="K40" s="454"/>
      <c r="L40" s="454" t="s">
        <v>506</v>
      </c>
      <c r="M40" s="454"/>
      <c r="N40" s="454" t="s">
        <v>507</v>
      </c>
      <c r="O40" s="454"/>
      <c r="P40" s="454" t="s">
        <v>508</v>
      </c>
      <c r="Q40" s="454"/>
      <c r="R40" s="454" t="s">
        <v>521</v>
      </c>
      <c r="S40" s="454"/>
    </row>
    <row r="41" spans="1:19" s="306" customFormat="1" ht="49.5">
      <c r="A41" s="296" t="s">
        <v>217</v>
      </c>
      <c r="B41" s="305" t="s">
        <v>499</v>
      </c>
      <c r="C41" s="305" t="s">
        <v>23</v>
      </c>
      <c r="D41" s="297" t="s">
        <v>27</v>
      </c>
      <c r="E41" s="297" t="s">
        <v>501</v>
      </c>
      <c r="F41" s="297" t="s">
        <v>27</v>
      </c>
      <c r="G41" s="297" t="s">
        <v>501</v>
      </c>
      <c r="H41" s="297" t="s">
        <v>27</v>
      </c>
      <c r="I41" s="297" t="s">
        <v>501</v>
      </c>
      <c r="J41" s="297" t="s">
        <v>27</v>
      </c>
      <c r="K41" s="297" t="s">
        <v>501</v>
      </c>
      <c r="L41" s="297" t="s">
        <v>27</v>
      </c>
      <c r="M41" s="297" t="s">
        <v>501</v>
      </c>
      <c r="N41" s="297" t="s">
        <v>27</v>
      </c>
      <c r="O41" s="297" t="s">
        <v>501</v>
      </c>
      <c r="P41" s="297" t="s">
        <v>27</v>
      </c>
      <c r="Q41" s="297" t="s">
        <v>501</v>
      </c>
      <c r="R41" s="297" t="s">
        <v>27</v>
      </c>
      <c r="S41" s="297" t="s">
        <v>501</v>
      </c>
    </row>
    <row r="42" spans="1:19" s="302" customFormat="1" ht="12" customHeight="1">
      <c r="A42" s="303" t="str">
        <f>'Servizi Com. Evoluta - VoIP'!B10</f>
        <v>ENIP-1</v>
      </c>
      <c r="B42" s="303">
        <f>'Servizi Com. Evoluta - VoIP'!C10</f>
        <v>0</v>
      </c>
      <c r="C42" s="303">
        <f>'Servizi Com. Evoluta - VoIP'!D10</f>
        <v>0</v>
      </c>
      <c r="D42" s="301">
        <f>Listini!C122*'Riepilogo Fabbisogni'!B42</f>
        <v>0</v>
      </c>
      <c r="E42" s="301">
        <f>Listini!D122*'Riepilogo Fabbisogni'!B42*(1+IF(C42="Si",(Listini!$F$154-100)/100,0))</f>
        <v>0</v>
      </c>
      <c r="F42" s="301">
        <f>Listini!G122*'Riepilogo Fabbisogni'!B42</f>
        <v>0</v>
      </c>
      <c r="G42" s="301">
        <f>Listini!H122*'Riepilogo Fabbisogni'!B42*(1+IF(C42="Si",(Listini!$J$154-100)/100,0))</f>
        <v>0</v>
      </c>
      <c r="H42" s="301">
        <f>Listini!K122*'Riepilogo Fabbisogni'!B42</f>
        <v>0</v>
      </c>
      <c r="I42" s="301">
        <f>Listini!L122*'Riepilogo Fabbisogni'!B42*(1+IF(C42="Si",(Listini!$N$154-100)/100,0))</f>
        <v>0</v>
      </c>
      <c r="J42" s="301">
        <f>Listini!O122*'Riepilogo Fabbisogni'!B42</f>
        <v>0</v>
      </c>
      <c r="K42" s="301">
        <f>Listini!P122*'Riepilogo Fabbisogni'!B42*(1+IF(C42="Si",(Listini!$R$154-100)/100,0))</f>
        <v>0</v>
      </c>
      <c r="L42" s="301">
        <f>Listini!S122*'Riepilogo Fabbisogni'!B42</f>
        <v>0</v>
      </c>
      <c r="M42" s="301">
        <f>Listini!T122*'Riepilogo Fabbisogni'!B42*(1+IF(C42="Si",(Listini!$V$154-100)/100,0))</f>
        <v>0</v>
      </c>
      <c r="N42" s="301">
        <f>Listini!W122*'Riepilogo Fabbisogni'!B42</f>
        <v>0</v>
      </c>
      <c r="O42" s="301">
        <f>Listini!X122*'Riepilogo Fabbisogni'!B42*(1+IF(C42="Si",(Listini!$Z$154-100)/100,0))</f>
        <v>0</v>
      </c>
      <c r="P42" s="301">
        <f>Listini!AA122*'Riepilogo Fabbisogni'!B42</f>
        <v>0</v>
      </c>
      <c r="Q42" s="301">
        <f>Listini!AB122*'Riepilogo Fabbisogni'!B42*(1+IF(C42="Si",(Listini!$AD$154-100)/100,0))</f>
        <v>0</v>
      </c>
      <c r="R42" s="302">
        <f>'Listino Offerta'!C122*'Riepilogo Fabbisogni'!B42</f>
        <v>0</v>
      </c>
      <c r="S42" s="302">
        <f>'Listino Offerta'!D122*'Riepilogo Fabbisogni'!B42*(1+IF(C42="Si",('Listino Offerta'!$F$154-100)/100,0))</f>
        <v>0</v>
      </c>
    </row>
    <row r="43" spans="1:19" s="302" customFormat="1" ht="12" customHeight="1">
      <c r="A43" s="303" t="str">
        <f>'Servizi Com. Evoluta - VoIP'!B11</f>
        <v>ENIP-2</v>
      </c>
      <c r="B43" s="303">
        <f>'Servizi Com. Evoluta - VoIP'!C11</f>
        <v>0</v>
      </c>
      <c r="C43" s="303">
        <f>'Servizi Com. Evoluta - VoIP'!D11</f>
        <v>0</v>
      </c>
      <c r="D43" s="301">
        <f>Listini!C123*'Riepilogo Fabbisogni'!B43</f>
        <v>0</v>
      </c>
      <c r="E43" s="303">
        <f>Listini!D123*'Riepilogo Fabbisogni'!B43*(1+IF(C43="Si",(Listini!$F$154-100)/100,0))</f>
        <v>0</v>
      </c>
      <c r="F43" s="301">
        <f>Listini!G123*'Riepilogo Fabbisogni'!B43</f>
        <v>0</v>
      </c>
      <c r="G43" s="301">
        <f>Listini!H123*'Riepilogo Fabbisogni'!B43*(1+IF(C43="Si",(Listini!$J$154-100)/100,0))</f>
        <v>0</v>
      </c>
      <c r="H43" s="301">
        <f>Listini!K123*'Riepilogo Fabbisogni'!B43</f>
        <v>0</v>
      </c>
      <c r="I43" s="301">
        <f>Listini!L123*'Riepilogo Fabbisogni'!B43*(1+IF(C43="Si",(Listini!$N$154-100)/100,0))</f>
        <v>0</v>
      </c>
      <c r="J43" s="301">
        <f>Listini!O123*'Riepilogo Fabbisogni'!B43</f>
        <v>0</v>
      </c>
      <c r="K43" s="301">
        <f>Listini!P123*'Riepilogo Fabbisogni'!B43*(1+IF(C43="Si",(Listini!$R$154-100)/100,0))</f>
        <v>0</v>
      </c>
      <c r="L43" s="301">
        <f>Listini!S123*'Riepilogo Fabbisogni'!B43</f>
        <v>0</v>
      </c>
      <c r="M43" s="301">
        <f>Listini!T123*'Riepilogo Fabbisogni'!B43*(1+IF(C43="Si",(Listini!$V$154-100)/100,0))</f>
        <v>0</v>
      </c>
      <c r="N43" s="301">
        <f>Listini!W123*'Riepilogo Fabbisogni'!B43</f>
        <v>0</v>
      </c>
      <c r="O43" s="301">
        <f>Listini!X123*'Riepilogo Fabbisogni'!B43*(1+IF(C43="Si",(Listini!$Z$154-100)/100,0))</f>
        <v>0</v>
      </c>
      <c r="P43" s="301">
        <f>Listini!AA123*'Riepilogo Fabbisogni'!B43</f>
        <v>0</v>
      </c>
      <c r="Q43" s="301">
        <f>Listini!AB123*'Riepilogo Fabbisogni'!B43*(1+IF(C43="Si",(Listini!$AD$154-100)/100,0))</f>
        <v>0</v>
      </c>
      <c r="R43" s="302">
        <f>'Listino Offerta'!C123*'Riepilogo Fabbisogni'!B43</f>
        <v>0</v>
      </c>
      <c r="S43" s="302">
        <f>'Listino Offerta'!D123*'Riepilogo Fabbisogni'!B43*(1+IF(C43="Si",('Listino Offerta'!$F$154-100)/100,0))</f>
        <v>0</v>
      </c>
    </row>
    <row r="44" spans="1:19" s="302" customFormat="1" ht="12" customHeight="1">
      <c r="A44" s="303" t="str">
        <f>'Servizi Com. Evoluta - VoIP'!B12</f>
        <v>ENIP-3</v>
      </c>
      <c r="B44" s="303">
        <f>'Servizi Com. Evoluta - VoIP'!C12</f>
        <v>0</v>
      </c>
      <c r="C44" s="303">
        <f>'Servizi Com. Evoluta - VoIP'!D12</f>
        <v>0</v>
      </c>
      <c r="D44" s="301">
        <f>Listini!C124*'Riepilogo Fabbisogni'!B44</f>
        <v>0</v>
      </c>
      <c r="E44" s="303">
        <f>Listini!D124*'Riepilogo Fabbisogni'!B44*(1+IF(C44="Si",(Listini!$F$154-100)/100,0))</f>
        <v>0</v>
      </c>
      <c r="F44" s="301">
        <f>Listini!G124*'Riepilogo Fabbisogni'!B44</f>
        <v>0</v>
      </c>
      <c r="G44" s="301">
        <f>Listini!H124*'Riepilogo Fabbisogni'!B44*(1+IF(C44="Si",(Listini!$J$154-100)/100,0))</f>
        <v>0</v>
      </c>
      <c r="H44" s="301">
        <f>Listini!K124*'Riepilogo Fabbisogni'!B44</f>
        <v>0</v>
      </c>
      <c r="I44" s="301">
        <f>Listini!L124*'Riepilogo Fabbisogni'!B44*(1+IF(C44="Si",(Listini!$N$154-100)/100,0))</f>
        <v>0</v>
      </c>
      <c r="J44" s="301">
        <f>Listini!O124*'Riepilogo Fabbisogni'!B44</f>
        <v>0</v>
      </c>
      <c r="K44" s="301">
        <f>Listini!P124*'Riepilogo Fabbisogni'!B44*(1+IF(C44="Si",(Listini!$R$154-100)/100,0))</f>
        <v>0</v>
      </c>
      <c r="L44" s="301">
        <f>Listini!S124*'Riepilogo Fabbisogni'!B44</f>
        <v>0</v>
      </c>
      <c r="M44" s="301">
        <f>Listini!T124*'Riepilogo Fabbisogni'!B44*(1+IF(C44="Si",(Listini!$V$154-100)/100,0))</f>
        <v>0</v>
      </c>
      <c r="N44" s="301">
        <f>Listini!W124*'Riepilogo Fabbisogni'!B44</f>
        <v>0</v>
      </c>
      <c r="O44" s="301">
        <f>Listini!X124*'Riepilogo Fabbisogni'!B44*(1+IF(C44="Si",(Listini!$Z$154-100)/100,0))</f>
        <v>0</v>
      </c>
      <c r="P44" s="301">
        <f>Listini!AA124*'Riepilogo Fabbisogni'!B44</f>
        <v>0</v>
      </c>
      <c r="Q44" s="301">
        <f>Listini!AB124*'Riepilogo Fabbisogni'!B44*(1+IF(C44="Si",(Listini!$AD$154-100)/100,0))</f>
        <v>0</v>
      </c>
      <c r="R44" s="302">
        <f>'Listino Offerta'!C124*'Riepilogo Fabbisogni'!B44</f>
        <v>0</v>
      </c>
      <c r="S44" s="302">
        <f>'Listino Offerta'!D124*'Riepilogo Fabbisogni'!B44*(1+IF(C44="Si",('Listino Offerta'!$F$154-100)/100,0))</f>
        <v>0</v>
      </c>
    </row>
    <row r="45" spans="1:19" s="302" customFormat="1" ht="12" customHeight="1">
      <c r="A45" s="303" t="str">
        <f>'Servizi Com. Evoluta - VoIP'!B13</f>
        <v>ENIP-4</v>
      </c>
      <c r="B45" s="303">
        <f>'Servizi Com. Evoluta - VoIP'!C13</f>
        <v>0</v>
      </c>
      <c r="C45" s="303">
        <f>'Servizi Com. Evoluta - VoIP'!D13</f>
        <v>0</v>
      </c>
      <c r="D45" s="301">
        <f>Listini!C125*'Riepilogo Fabbisogni'!B45</f>
        <v>0</v>
      </c>
      <c r="E45" s="303">
        <f>Listini!D125*'Riepilogo Fabbisogni'!B45*(1+IF(C45="Si",(Listini!$F$154-100)/100,0))</f>
        <v>0</v>
      </c>
      <c r="F45" s="301">
        <f>Listini!G125*'Riepilogo Fabbisogni'!B45</f>
        <v>0</v>
      </c>
      <c r="G45" s="301">
        <f>Listini!H125*'Riepilogo Fabbisogni'!B45*(1+IF(C45="Si",(Listini!$J$154-100)/100,0))</f>
        <v>0</v>
      </c>
      <c r="H45" s="301">
        <f>Listini!K125*'Riepilogo Fabbisogni'!B45</f>
        <v>0</v>
      </c>
      <c r="I45" s="301">
        <f>Listini!L125*'Riepilogo Fabbisogni'!B45*(1+IF(C45="Si",(Listini!$N$154-100)/100,0))</f>
        <v>0</v>
      </c>
      <c r="J45" s="301">
        <f>Listini!O125*'Riepilogo Fabbisogni'!B45</f>
        <v>0</v>
      </c>
      <c r="K45" s="301">
        <f>Listini!P125*'Riepilogo Fabbisogni'!B45*(1+IF(C45="Si",(Listini!$R$154-100)/100,0))</f>
        <v>0</v>
      </c>
      <c r="L45" s="301">
        <f>Listini!S125*'Riepilogo Fabbisogni'!B45</f>
        <v>0</v>
      </c>
      <c r="M45" s="301">
        <f>Listini!T125*'Riepilogo Fabbisogni'!B45*(1+IF(C45="Si",(Listini!$V$154-100)/100,0))</f>
        <v>0</v>
      </c>
      <c r="N45" s="301">
        <f>Listini!W125*'Riepilogo Fabbisogni'!B45</f>
        <v>0</v>
      </c>
      <c r="O45" s="301">
        <f>Listini!X125*'Riepilogo Fabbisogni'!B45*(1+IF(C45="Si",(Listini!$Z$154-100)/100,0))</f>
        <v>0</v>
      </c>
      <c r="P45" s="301">
        <f>Listini!AA125*'Riepilogo Fabbisogni'!B45</f>
        <v>0</v>
      </c>
      <c r="Q45" s="301">
        <f>Listini!AB125*'Riepilogo Fabbisogni'!B45*(1+IF(C45="Si",(Listini!$AD$154-100)/100,0))</f>
        <v>0</v>
      </c>
      <c r="R45" s="302">
        <f>'Listino Offerta'!C125*'Riepilogo Fabbisogni'!B45</f>
        <v>0</v>
      </c>
      <c r="S45" s="302">
        <f>'Listino Offerta'!D125*'Riepilogo Fabbisogni'!B45*(1+IF(C45="Si",('Listino Offerta'!$F$154-100)/100,0))</f>
        <v>0</v>
      </c>
    </row>
    <row r="46" spans="1:19" s="302" customFormat="1" ht="12" customHeight="1">
      <c r="A46" s="303" t="str">
        <f>'Servizi Com. Evoluta - VoIP'!B14</f>
        <v>ENIP-5</v>
      </c>
      <c r="B46" s="303">
        <f>'Servizi Com. Evoluta - VoIP'!C14</f>
        <v>0</v>
      </c>
      <c r="C46" s="303">
        <f>'Servizi Com. Evoluta - VoIP'!D14</f>
        <v>0</v>
      </c>
      <c r="D46" s="301">
        <f>Listini!C126*'Riepilogo Fabbisogni'!B46</f>
        <v>0</v>
      </c>
      <c r="E46" s="303">
        <f>Listini!D126*'Riepilogo Fabbisogni'!B46*(1+IF(C46="Si",(Listini!$F$154-100)/100,0))</f>
        <v>0</v>
      </c>
      <c r="F46" s="301">
        <f>Listini!G126*'Riepilogo Fabbisogni'!B46</f>
        <v>0</v>
      </c>
      <c r="G46" s="301">
        <f>Listini!H126*'Riepilogo Fabbisogni'!B46*(1+IF(C46="Si",(Listini!$J$154-100)/100,0))</f>
        <v>0</v>
      </c>
      <c r="H46" s="301">
        <f>Listini!K126*'Riepilogo Fabbisogni'!B46</f>
        <v>0</v>
      </c>
      <c r="I46" s="301">
        <f>Listini!L126*'Riepilogo Fabbisogni'!B46*(1+IF(C46="Si",(Listini!$N$154-100)/100,0))</f>
        <v>0</v>
      </c>
      <c r="J46" s="301">
        <f>Listini!O126*'Riepilogo Fabbisogni'!B46</f>
        <v>0</v>
      </c>
      <c r="K46" s="301">
        <f>Listini!P126*'Riepilogo Fabbisogni'!B46*(1+IF(C46="Si",(Listini!$R$154-100)/100,0))</f>
        <v>0</v>
      </c>
      <c r="L46" s="301">
        <f>Listini!S126*'Riepilogo Fabbisogni'!B46</f>
        <v>0</v>
      </c>
      <c r="M46" s="301">
        <f>Listini!T126*'Riepilogo Fabbisogni'!B46*(1+IF(C46="Si",(Listini!$V$154-100)/100,0))</f>
        <v>0</v>
      </c>
      <c r="N46" s="301">
        <f>Listini!W126*'Riepilogo Fabbisogni'!B46</f>
        <v>0</v>
      </c>
      <c r="O46" s="301">
        <f>Listini!X126*'Riepilogo Fabbisogni'!B46*(1+IF(C46="Si",(Listini!$Z$154-100)/100,0))</f>
        <v>0</v>
      </c>
      <c r="P46" s="301">
        <f>Listini!AA126*'Riepilogo Fabbisogni'!B46</f>
        <v>0</v>
      </c>
      <c r="Q46" s="301">
        <f>Listini!AB126*'Riepilogo Fabbisogni'!B46*(1+IF(C46="Si",(Listini!$AD$154-100)/100,0))</f>
        <v>0</v>
      </c>
      <c r="R46" s="302">
        <f>'Listino Offerta'!C126*'Riepilogo Fabbisogni'!B46</f>
        <v>0</v>
      </c>
      <c r="S46" s="302">
        <f>'Listino Offerta'!D126*'Riepilogo Fabbisogni'!B46*(1+IF(C46="Si",('Listino Offerta'!$F$154-100)/100,0))</f>
        <v>0</v>
      </c>
    </row>
    <row r="47" spans="1:19" s="302" customFormat="1" ht="12" customHeight="1">
      <c r="A47" s="303" t="str">
        <f>'Servizi Com. Evoluta - VoIP'!B15</f>
        <v>ENIP-6</v>
      </c>
      <c r="B47" s="303">
        <f>'Servizi Com. Evoluta - VoIP'!C15</f>
        <v>0</v>
      </c>
      <c r="C47" s="303">
        <f>'Servizi Com. Evoluta - VoIP'!D15</f>
        <v>0</v>
      </c>
      <c r="D47" s="301">
        <f>Listini!C127*'Riepilogo Fabbisogni'!B47</f>
        <v>0</v>
      </c>
      <c r="E47" s="303">
        <f>Listini!D127*'Riepilogo Fabbisogni'!B47*(1+IF(C47="Si",(Listini!$F$154-100)/100,0))</f>
        <v>0</v>
      </c>
      <c r="F47" s="301">
        <f>Listini!G127*'Riepilogo Fabbisogni'!B47</f>
        <v>0</v>
      </c>
      <c r="G47" s="301">
        <f>Listini!H127*'Riepilogo Fabbisogni'!B47*(1+IF(C47="Si",(Listini!$J$154-100)/100,0))</f>
        <v>0</v>
      </c>
      <c r="H47" s="301">
        <f>Listini!K127*'Riepilogo Fabbisogni'!B47</f>
        <v>0</v>
      </c>
      <c r="I47" s="301">
        <f>Listini!L127*'Riepilogo Fabbisogni'!B47*(1+IF(C47="Si",(Listini!$N$154-100)/100,0))</f>
        <v>0</v>
      </c>
      <c r="J47" s="301">
        <f>Listini!O127*'Riepilogo Fabbisogni'!B47</f>
        <v>0</v>
      </c>
      <c r="K47" s="301">
        <f>Listini!P127*'Riepilogo Fabbisogni'!B47*(1+IF(C47="Si",(Listini!$R$154-100)/100,0))</f>
        <v>0</v>
      </c>
      <c r="L47" s="301">
        <f>Listini!S127*'Riepilogo Fabbisogni'!B47</f>
        <v>0</v>
      </c>
      <c r="M47" s="301">
        <f>Listini!T127*'Riepilogo Fabbisogni'!B47*(1+IF(C47="Si",(Listini!$V$154-100)/100,0))</f>
        <v>0</v>
      </c>
      <c r="N47" s="301">
        <f>Listini!W127*'Riepilogo Fabbisogni'!B47</f>
        <v>0</v>
      </c>
      <c r="O47" s="301">
        <f>Listini!X127*'Riepilogo Fabbisogni'!B47*(1+IF(C47="Si",(Listini!$Z$154-100)/100,0))</f>
        <v>0</v>
      </c>
      <c r="P47" s="301">
        <f>Listini!AA127*'Riepilogo Fabbisogni'!B47</f>
        <v>0</v>
      </c>
      <c r="Q47" s="301">
        <f>Listini!AB127*'Riepilogo Fabbisogni'!B47*(1+IF(C47="Si",(Listini!$AD$154-100)/100,0))</f>
        <v>0</v>
      </c>
      <c r="R47" s="302">
        <f>'Listino Offerta'!C127*'Riepilogo Fabbisogni'!B47</f>
        <v>0</v>
      </c>
      <c r="S47" s="302">
        <f>'Listino Offerta'!D127*'Riepilogo Fabbisogni'!B47*(1+IF(C47="Si",('Listino Offerta'!$F$154-100)/100,0))</f>
        <v>0</v>
      </c>
    </row>
    <row r="48" spans="1:19" s="302" customFormat="1" ht="12" customHeight="1">
      <c r="A48" s="303" t="str">
        <f>'Servizi Com. Evoluta - VoIP'!B16</f>
        <v>ENIP-7</v>
      </c>
      <c r="B48" s="303">
        <f>'Servizi Com. Evoluta - VoIP'!C16</f>
        <v>0</v>
      </c>
      <c r="C48" s="303">
        <f>'Servizi Com. Evoluta - VoIP'!D16</f>
        <v>0</v>
      </c>
      <c r="D48" s="301">
        <f>Listini!C128*'Riepilogo Fabbisogni'!B48</f>
        <v>0</v>
      </c>
      <c r="E48" s="303">
        <f>Listini!D128*'Riepilogo Fabbisogni'!B48*(1+IF(C48="Si",(Listini!$F$154-100)/100,0))</f>
        <v>0</v>
      </c>
      <c r="F48" s="301">
        <f>Listini!G128*'Riepilogo Fabbisogni'!B48</f>
        <v>0</v>
      </c>
      <c r="G48" s="301">
        <f>Listini!H128*'Riepilogo Fabbisogni'!B48*(1+IF(C48="Si",(Listini!$J$154-100)/100,0))</f>
        <v>0</v>
      </c>
      <c r="H48" s="301">
        <f>Listini!K128*'Riepilogo Fabbisogni'!B48</f>
        <v>0</v>
      </c>
      <c r="I48" s="301">
        <f>Listini!L128*'Riepilogo Fabbisogni'!B48*(1+IF(C48="Si",(Listini!$N$154-100)/100,0))</f>
        <v>0</v>
      </c>
      <c r="J48" s="301">
        <f>Listini!O128*'Riepilogo Fabbisogni'!B48</f>
        <v>0</v>
      </c>
      <c r="K48" s="301">
        <f>Listini!P128*'Riepilogo Fabbisogni'!B48*(1+IF(C48="Si",(Listini!$R$154-100)/100,0))</f>
        <v>0</v>
      </c>
      <c r="L48" s="301">
        <f>Listini!S128*'Riepilogo Fabbisogni'!B48</f>
        <v>0</v>
      </c>
      <c r="M48" s="301">
        <f>Listini!T128*'Riepilogo Fabbisogni'!B48*(1+IF(C48="Si",(Listini!$V$154-100)/100,0))</f>
        <v>0</v>
      </c>
      <c r="N48" s="301">
        <f>Listini!W128*'Riepilogo Fabbisogni'!B48</f>
        <v>0</v>
      </c>
      <c r="O48" s="301">
        <f>Listini!X128*'Riepilogo Fabbisogni'!B48*(1+IF(C48="Si",(Listini!$Z$154-100)/100,0))</f>
        <v>0</v>
      </c>
      <c r="P48" s="301">
        <f>Listini!AA128*'Riepilogo Fabbisogni'!B48</f>
        <v>0</v>
      </c>
      <c r="Q48" s="301">
        <f>Listini!AB128*'Riepilogo Fabbisogni'!B48*(1+IF(C48="Si",(Listini!$AD$154-100)/100,0))</f>
        <v>0</v>
      </c>
      <c r="R48" s="302">
        <f>'Listino Offerta'!C128*'Riepilogo Fabbisogni'!B48</f>
        <v>0</v>
      </c>
      <c r="S48" s="302">
        <f>'Listino Offerta'!D128*'Riepilogo Fabbisogni'!B48*(1+IF(C48="Si",('Listino Offerta'!$F$154-100)/100,0))</f>
        <v>0</v>
      </c>
    </row>
    <row r="49" spans="1:19" s="302" customFormat="1" ht="12" customHeight="1">
      <c r="A49" s="303" t="str">
        <f>'Servizi Com. Evoluta - VoIP'!B17</f>
        <v>ENIP-8</v>
      </c>
      <c r="B49" s="303">
        <f>'Servizi Com. Evoluta - VoIP'!C17</f>
        <v>0</v>
      </c>
      <c r="C49" s="303">
        <f>'Servizi Com. Evoluta - VoIP'!D17</f>
        <v>0</v>
      </c>
      <c r="D49" s="301">
        <f>Listini!C129*'Riepilogo Fabbisogni'!B49</f>
        <v>0</v>
      </c>
      <c r="E49" s="303">
        <f>Listini!D129*'Riepilogo Fabbisogni'!B49*(1+IF(C49="Si",(Listini!$F$154-100)/100,0))</f>
        <v>0</v>
      </c>
      <c r="F49" s="301">
        <f>Listini!G129*'Riepilogo Fabbisogni'!B49</f>
        <v>0</v>
      </c>
      <c r="G49" s="301">
        <f>Listini!H129*'Riepilogo Fabbisogni'!B49*(1+IF(C49="Si",(Listini!$J$154-100)/100,0))</f>
        <v>0</v>
      </c>
      <c r="H49" s="301">
        <f>Listini!K129*'Riepilogo Fabbisogni'!B49</f>
        <v>0</v>
      </c>
      <c r="I49" s="301">
        <f>Listini!L129*'Riepilogo Fabbisogni'!B49*(1+IF(C49="Si",(Listini!$N$154-100)/100,0))</f>
        <v>0</v>
      </c>
      <c r="J49" s="301">
        <f>Listini!O129*'Riepilogo Fabbisogni'!B49</f>
        <v>0</v>
      </c>
      <c r="K49" s="301">
        <f>Listini!P129*'Riepilogo Fabbisogni'!B49*(1+IF(C49="Si",(Listini!$R$154-100)/100,0))</f>
        <v>0</v>
      </c>
      <c r="L49" s="301">
        <f>Listini!S129*'Riepilogo Fabbisogni'!B49</f>
        <v>0</v>
      </c>
      <c r="M49" s="301">
        <f>Listini!T129*'Riepilogo Fabbisogni'!B49*(1+IF(C49="Si",(Listini!$V$154-100)/100,0))</f>
        <v>0</v>
      </c>
      <c r="N49" s="301">
        <f>Listini!W129*'Riepilogo Fabbisogni'!B49</f>
        <v>0</v>
      </c>
      <c r="O49" s="301">
        <f>Listini!X129*'Riepilogo Fabbisogni'!B49*(1+IF(C49="Si",(Listini!$Z$154-100)/100,0))</f>
        <v>0</v>
      </c>
      <c r="P49" s="301">
        <f>Listini!AA129*'Riepilogo Fabbisogni'!B49</f>
        <v>0</v>
      </c>
      <c r="Q49" s="301">
        <f>Listini!AB129*'Riepilogo Fabbisogni'!B49*(1+IF(C49="Si",(Listini!$AD$154-100)/100,0))</f>
        <v>0</v>
      </c>
      <c r="R49" s="302">
        <f>'Listino Offerta'!C129*'Riepilogo Fabbisogni'!B49</f>
        <v>0</v>
      </c>
      <c r="S49" s="302">
        <f>'Listino Offerta'!D129*'Riepilogo Fabbisogni'!B49*(1+IF(C49="Si",('Listino Offerta'!$F$154-100)/100,0))</f>
        <v>0</v>
      </c>
    </row>
    <row r="50" spans="1:19" s="302" customFormat="1" ht="12" customHeight="1">
      <c r="A50" s="303" t="str">
        <f>'Servizi Com. Evoluta - VoIP'!B18</f>
        <v>ENIP-9</v>
      </c>
      <c r="B50" s="303">
        <f>'Servizi Com. Evoluta - VoIP'!C18</f>
        <v>0</v>
      </c>
      <c r="C50" s="303">
        <f>'Servizi Com. Evoluta - VoIP'!D18</f>
        <v>0</v>
      </c>
      <c r="D50" s="301">
        <f>Listini!C130*'Riepilogo Fabbisogni'!B50</f>
        <v>0</v>
      </c>
      <c r="E50" s="303">
        <f>Listini!D130*'Riepilogo Fabbisogni'!B50*(1+IF(C50="Si",(Listini!$F$154-100)/100,0))</f>
        <v>0</v>
      </c>
      <c r="F50" s="301">
        <f>Listini!G130*'Riepilogo Fabbisogni'!B50</f>
        <v>0</v>
      </c>
      <c r="G50" s="301">
        <f>Listini!H130*'Riepilogo Fabbisogni'!B50*(1+IF(C50="Si",(Listini!$J$154-100)/100,0))</f>
        <v>0</v>
      </c>
      <c r="H50" s="301">
        <f>Listini!K130*'Riepilogo Fabbisogni'!B50</f>
        <v>0</v>
      </c>
      <c r="I50" s="301">
        <f>Listini!L130*'Riepilogo Fabbisogni'!B50*(1+IF(C50="Si",(Listini!$N$154-100)/100,0))</f>
        <v>0</v>
      </c>
      <c r="J50" s="301">
        <f>Listini!O130*'Riepilogo Fabbisogni'!B50</f>
        <v>0</v>
      </c>
      <c r="K50" s="301">
        <f>Listini!P130*'Riepilogo Fabbisogni'!B50*(1+IF(C50="Si",(Listini!$R$154-100)/100,0))</f>
        <v>0</v>
      </c>
      <c r="L50" s="301">
        <f>Listini!S130*'Riepilogo Fabbisogni'!B50</f>
        <v>0</v>
      </c>
      <c r="M50" s="301">
        <f>Listini!T130*'Riepilogo Fabbisogni'!B50*(1+IF(C50="Si",(Listini!$V$154-100)/100,0))</f>
        <v>0</v>
      </c>
      <c r="N50" s="301">
        <f>Listini!W130*'Riepilogo Fabbisogni'!B50</f>
        <v>0</v>
      </c>
      <c r="O50" s="301">
        <f>Listini!X130*'Riepilogo Fabbisogni'!B50*(1+IF(C50="Si",(Listini!$Z$154-100)/100,0))</f>
        <v>0</v>
      </c>
      <c r="P50" s="301">
        <f>Listini!AA130*'Riepilogo Fabbisogni'!B50</f>
        <v>0</v>
      </c>
      <c r="Q50" s="301">
        <f>Listini!AB130*'Riepilogo Fabbisogni'!B50*(1+IF(C50="Si",(Listini!$AD$154-100)/100,0))</f>
        <v>0</v>
      </c>
      <c r="R50" s="302">
        <f>'Listino Offerta'!C130*'Riepilogo Fabbisogni'!B50</f>
        <v>0</v>
      </c>
      <c r="S50" s="302">
        <f>'Listino Offerta'!D130*'Riepilogo Fabbisogni'!B50*(1+IF(C50="Si",('Listino Offerta'!$F$154-100)/100,0))</f>
        <v>0</v>
      </c>
    </row>
    <row r="51" spans="1:13" s="302" customFormat="1" ht="12" customHeight="1">
      <c r="A51" s="303"/>
      <c r="B51" s="303"/>
      <c r="C51" s="303"/>
      <c r="D51" s="303"/>
      <c r="E51" s="303"/>
      <c r="F51" s="303"/>
      <c r="G51" s="303"/>
      <c r="H51" s="303"/>
      <c r="I51" s="303"/>
      <c r="J51" s="303"/>
      <c r="K51" s="303"/>
      <c r="L51" s="303"/>
      <c r="M51" s="303"/>
    </row>
    <row r="52" spans="1:23" s="302" customFormat="1" ht="12" customHeight="1">
      <c r="A52" s="455" t="s">
        <v>226</v>
      </c>
      <c r="B52" s="457"/>
      <c r="C52" s="457"/>
      <c r="D52" s="457"/>
      <c r="E52" s="456"/>
      <c r="F52" s="303"/>
      <c r="G52" s="303"/>
      <c r="H52" s="454" t="s">
        <v>502</v>
      </c>
      <c r="I52" s="454"/>
      <c r="J52" s="454" t="s">
        <v>503</v>
      </c>
      <c r="K52" s="454"/>
      <c r="L52" s="454" t="s">
        <v>504</v>
      </c>
      <c r="M52" s="454"/>
      <c r="N52" s="454" t="s">
        <v>505</v>
      </c>
      <c r="O52" s="454"/>
      <c r="P52" s="454" t="s">
        <v>506</v>
      </c>
      <c r="Q52" s="454"/>
      <c r="R52" s="454" t="s">
        <v>507</v>
      </c>
      <c r="S52" s="454"/>
      <c r="T52" s="454" t="s">
        <v>508</v>
      </c>
      <c r="U52" s="454"/>
      <c r="V52" s="454" t="s">
        <v>521</v>
      </c>
      <c r="W52" s="454"/>
    </row>
    <row r="53" spans="1:23" s="306" customFormat="1" ht="62.25">
      <c r="A53" s="295" t="s">
        <v>216</v>
      </c>
      <c r="B53" s="296" t="s">
        <v>217</v>
      </c>
      <c r="C53" s="306" t="s">
        <v>499</v>
      </c>
      <c r="D53" s="305" t="s">
        <v>114</v>
      </c>
      <c r="E53" s="305" t="s">
        <v>80</v>
      </c>
      <c r="F53" s="305" t="s">
        <v>23</v>
      </c>
      <c r="G53" s="296" t="s">
        <v>494</v>
      </c>
      <c r="H53" s="297" t="s">
        <v>27</v>
      </c>
      <c r="I53" s="297" t="s">
        <v>501</v>
      </c>
      <c r="J53" s="297" t="s">
        <v>27</v>
      </c>
      <c r="K53" s="297" t="s">
        <v>501</v>
      </c>
      <c r="L53" s="297" t="s">
        <v>27</v>
      </c>
      <c r="M53" s="297" t="s">
        <v>501</v>
      </c>
      <c r="N53" s="297" t="s">
        <v>27</v>
      </c>
      <c r="O53" s="297" t="s">
        <v>501</v>
      </c>
      <c r="P53" s="297" t="s">
        <v>27</v>
      </c>
      <c r="Q53" s="297" t="s">
        <v>501</v>
      </c>
      <c r="R53" s="297" t="s">
        <v>27</v>
      </c>
      <c r="S53" s="297" t="s">
        <v>501</v>
      </c>
      <c r="T53" s="297" t="s">
        <v>27</v>
      </c>
      <c r="U53" s="297" t="s">
        <v>501</v>
      </c>
      <c r="V53" s="297" t="s">
        <v>27</v>
      </c>
      <c r="W53" s="297" t="s">
        <v>501</v>
      </c>
    </row>
    <row r="54" spans="1:25" s="302" customFormat="1" ht="12" customHeight="1">
      <c r="A54" s="303">
        <v>1</v>
      </c>
      <c r="B54" s="303">
        <f>'Servizi Com. Evoluta - VoIP'!D24</f>
        <v>0</v>
      </c>
      <c r="C54" s="302">
        <f>'Servizi Com. Evoluta - VoIP'!E24</f>
        <v>0</v>
      </c>
      <c r="D54" s="303">
        <f>'Servizi Com. Evoluta - VoIP'!F24</f>
        <v>0</v>
      </c>
      <c r="E54" s="299">
        <f>IF(AND('Servizi Com. Evoluta - VoIP'!G24="Si",'Servizi Com. Evoluta - VoIP'!H24&lt;&gt;"Si"),"Si","")</f>
      </c>
      <c r="F54" s="299">
        <f>IF(AND('Servizi Com. Evoluta - VoIP'!G24&lt;&gt;"Si",'Servizi Com. Evoluta - VoIP'!H24="Si"),"Si","")</f>
      </c>
      <c r="G54" s="299">
        <f>IF(AND('Servizi Com. Evoluta - VoIP'!G24="Si",'Servizi Com. Evoluta - VoIP'!H24="Si"),"Si","")</f>
      </c>
      <c r="H54" s="301">
        <f>IF(B54&lt;&gt;0,VLOOKUP(B54,Listini!$A$118:$AD$121,3,FALSE)*C54*(1+IF(E54="Si",(Listini!$E$153-100)/100,0)+IF(G54="Si",(Listini!$E$155-100)/100,0)),0)</f>
        <v>0</v>
      </c>
      <c r="I54" s="301">
        <f>IF(B54&lt;&gt;0,(VLOOKUP(B54,Listini!$A$118:$AD$121,4,FALSE)*C54+IF(D54&lt;&gt;0,VLOOKUP(CONCATENATE(B54,"-BR"),Listini!$A$147:$AD$150,4,FALSE)*D54,0))*(1+IF(E54="Si",(Listini!$F$153-100)/100,0)+IF(F54="Si",(Listini!$F$154-100)/100,0)+IF(G54="Si",(Listini!$F$155-100)/100,0)),0)</f>
        <v>0</v>
      </c>
      <c r="J54" s="301">
        <f>IF(B54&lt;&gt;0,VLOOKUP(B54,Listini!$A$118:$AD$121,7,FALSE)*C54*(1+IF(E54="Si",(Listini!$I$153-100)/100,0)+IF(G54="Si",(Listini!$I$155-100)/100,0)),0)</f>
        <v>0</v>
      </c>
      <c r="K54" s="301">
        <f>IF(B54&lt;&gt;0,(VLOOKUP(B54,Listini!$A$118:$AD$121,8,FALSE)*C54+IF(D54&lt;&gt;0,VLOOKUP(CONCATENATE(B54,"-BR"),Listini!$A$147:$AD$150,8,FALSE)*D54,0))*(1+IF(E54="Si",(Listini!$J$153-100)/100,0)+IF(F54="Si",(Listini!$J$154-100)/100,0)+IF(G54="Si",(Listini!$J$155-100)/100,0)),0)</f>
        <v>0</v>
      </c>
      <c r="L54" s="301">
        <f>IF(B54&lt;&gt;0,VLOOKUP(B54,Listini!$A$118:$AD$121,11,FALSE)*C54*(1+IF(E54="Si",(Listini!$M$153-100)/100,0)+IF(G54="Si",(Listini!$M$155-100)/100,0)),0)</f>
        <v>0</v>
      </c>
      <c r="M54" s="301">
        <f>IF(B54&lt;&gt;0,(VLOOKUP(B54,Listini!$A$118:$AD$121,12,FALSE)*C54+IF(D54&lt;&gt;0,VLOOKUP(CONCATENATE(B54,"-BR"),Listini!$A$147:$AD$150,12,FALSE)*D54,0))*(1+IF(E54="Si",(Listini!$N$153-100)/100,0)+IF(F54="Si",(Listini!$N$154-100)/100,0)+IF(G54="Si",(Listini!$N$155-100)/100,0)),0)</f>
        <v>0</v>
      </c>
      <c r="N54" s="301">
        <f>IF(B54&lt;&gt;0,VLOOKUP(B54,Listini!$A$118:$AD$121,15,FALSE)*C54*(1+IF(E54="Si",(Listini!$Q$153-100)/100,0)+IF(G54="Si",(Listini!$Q$155-100)/100,0)),0)</f>
        <v>0</v>
      </c>
      <c r="O54" s="301">
        <f>IF(B54&lt;&gt;0,(VLOOKUP(B54,Listini!$A$118:$AD$121,16,FALSE)*C54+IF(D54&lt;&gt;0,VLOOKUP(CONCATENATE(B54,"-BR"),Listini!$A$147:$AD$150,16,FALSE)*D54,0))*(1+IF(E54="Si",(Listini!$R$153-100)/100,0)+IF(F54="Si",(Listini!$R$154-100)/100,0)+IF(G54="Si",(Listini!$R$155-100)/100,0)),0)</f>
        <v>0</v>
      </c>
      <c r="P54" s="301">
        <f>IF(B54&lt;&gt;0,VLOOKUP(B54,Listini!$A$118:$AD$121,19,FALSE)*C54*(1+IF(E54="Si",(Listini!$U$153-100)/100,0)+IF(G54="Si",(Listini!$U$155-100)/100,0)),0)</f>
        <v>0</v>
      </c>
      <c r="Q54" s="301">
        <f>IF(B54&lt;&gt;0,(VLOOKUP(B54,Listini!$A$118:$AD$121,20,FALSE)*C54+IF(D54&lt;&gt;0,VLOOKUP(CONCATENATE(B54,"-BR"),Listini!$A$147:$AD$150,20,FALSE)*D54,0))*(1+IF(E54="Si",(Listini!$V$153-100)/100,0)+IF(F54="Si",(Listini!$V$154-100)/100,0)+IF(G54="Si",(Listini!$V$155-100)/100,0)),0)</f>
        <v>0</v>
      </c>
      <c r="R54" s="301">
        <f>IF(B54&lt;&gt;0,VLOOKUP(B54,Listini!$A$118:$AD$121,23,FALSE)*C54*(1+IF(E54="Si",(Listini!$Y$153-100)/100,0)+IF(G54="Si",(Listini!$Y$155-100)/100,0)),0)</f>
        <v>0</v>
      </c>
      <c r="S54" s="301">
        <f>IF(B54&lt;&gt;0,(VLOOKUP(B54,Listini!$A$118:$AD$121,24,FALSE)*C54+IF(D54&lt;&gt;0,VLOOKUP(CONCATENATE(B54,"-BR"),Listini!$A$147:$AD$150,24,FALSE)*D54,0))*(1+IF(E54="Si",(Listini!$Z$153-100)/100,0)+IF(F54="Si",(Listini!$Z$154-100)/100,0)+IF(G54="Si",(Listini!$Z$155-100)/100,0)),0)</f>
        <v>0</v>
      </c>
      <c r="T54" s="301">
        <f>IF(B54&lt;&gt;0,VLOOKUP(B54,Listini!$A$118:$AD$121,27,FALSE)*C54*(1+IF(E54="Si",(Listini!$AC$153-100)/100,0)+IF(G54="Si",(Listini!$AC$155-100)/100,0)),0)</f>
        <v>0</v>
      </c>
      <c r="U54" s="301">
        <f>IF(B54&lt;&gt;0,(VLOOKUP(B54,Listini!$A$118:$AD$121,28,FALSE)*C54+IF(D54&lt;&gt;0,VLOOKUP(CONCATENATE(B54,"-BR"),Listini!$A$147:$AD$150,28,FALSE)*D54,0))*(1+IF(E54="Si",(Listini!$AD$153-100)/100,0)+IF(F54="Si",(Listini!$AD$154-100)/100,0)+IF(G54="Si",(Listini!$AD$155-100)/100,0)),0)</f>
        <v>0</v>
      </c>
      <c r="V54" s="301">
        <f>IF(B54&lt;&gt;0,VLOOKUP(B54,'Listino Offerta'!$A$118:$AD$121,3,FALSE)*C54*(1+IF(E54="Si",('Listino Offerta'!$E$153-100)/100,0)+IF(G54="Si",('Listino Offerta'!$E$155-100)/100,0)),0)</f>
        <v>0</v>
      </c>
      <c r="W54" s="301">
        <f>IF(B54&lt;&gt;0,(VLOOKUP(B54,'Listino Offerta'!$A$118:$AD$121,4,FALSE)*C54+IF(D54&lt;&gt;0,VLOOKUP(CONCATENATE(B54,"-BR"),'Listino Offerta'!$A$147:$AD$150,4,FALSE)*D54,0))*(1+IF(E54="Si",('Listino Offerta'!$F$153-100)/100,0)+IF(F54="Si",('Listino Offerta'!$F$154-100)/100,0)+IF(G54="Si",('Listino Offerta'!$F$155-100)/100,0)),0)</f>
        <v>0</v>
      </c>
      <c r="X54" s="301"/>
      <c r="Y54" s="301"/>
    </row>
    <row r="55" spans="1:23" s="302" customFormat="1" ht="12" customHeight="1">
      <c r="A55" s="303">
        <v>2</v>
      </c>
      <c r="B55" s="303">
        <f>'Servizi Com. Evoluta - VoIP'!D25</f>
        <v>0</v>
      </c>
      <c r="C55" s="302">
        <f>'Servizi Com. Evoluta - VoIP'!E25</f>
        <v>0</v>
      </c>
      <c r="D55" s="303">
        <f>'Servizi Com. Evoluta - VoIP'!F25</f>
        <v>0</v>
      </c>
      <c r="E55" s="299">
        <f>IF(AND('Servizi Com. Evoluta - VoIP'!G25="Si",'Servizi Com. Evoluta - VoIP'!H25&lt;&gt;"Si"),"Si","")</f>
      </c>
      <c r="F55" s="299">
        <f>IF(AND('Servizi Com. Evoluta - VoIP'!G25&lt;&gt;"Si",'Servizi Com. Evoluta - VoIP'!H25="Si"),"Si","")</f>
      </c>
      <c r="G55" s="299">
        <f>IF(AND('Servizi Com. Evoluta - VoIP'!G25="Si",'Servizi Com. Evoluta - VoIP'!H25="Si"),"Si","")</f>
      </c>
      <c r="H55" s="301">
        <f>IF(B55&lt;&gt;0,VLOOKUP(B55,Listini!$A$118:$AD$121,3,FALSE)*C55*(1+IF(E55="Si",(Listini!$E$153-100)/100,0)+IF(G55="Si",(Listini!$E$155-100)/100,0)),0)</f>
        <v>0</v>
      </c>
      <c r="I55" s="301">
        <f>IF(B55&lt;&gt;0,(VLOOKUP(B55,Listini!$A$118:$AD$121,4,FALSE)*C55+IF(D55&lt;&gt;0,VLOOKUP(CONCATENATE(B55,"-BR"),Listini!$A$147:$AD$150,4,FALSE)*D55,0))*(1+IF(E55="Si",(Listini!$F$153-100)/100,0)+IF(F55="Si",(Listini!$F$154-100)/100,0)+IF(G55="Si",(Listini!$F$155-100)/100,0)),0)</f>
        <v>0</v>
      </c>
      <c r="J55" s="301">
        <f>IF(B55&lt;&gt;0,VLOOKUP(B55,Listini!$A$118:$AD$121,7,FALSE)*C55*(1+IF(E55="Si",(Listini!$I$153-100)/100,0)+IF(G55="Si",(Listini!$I$155-100)/100,0)),0)</f>
        <v>0</v>
      </c>
      <c r="K55" s="301">
        <f>IF(B55&lt;&gt;0,(VLOOKUP(B55,Listini!$A$118:$AD$121,8,FALSE)*C55+IF(D55&lt;&gt;0,VLOOKUP(CONCATENATE(B55,"-BR"),Listini!$A$147:$AD$150,8,FALSE)*D55,0))*(1+IF(E55="Si",(Listini!$J$153-100)/100,0)+IF(F55="Si",(Listini!$J$154-100)/100,0)+IF(G55="Si",(Listini!$J$155-100)/100,0)),0)</f>
        <v>0</v>
      </c>
      <c r="L55" s="301">
        <f>IF(B55&lt;&gt;0,VLOOKUP(B55,Listini!$A$118:$AD$121,11,FALSE)*C55*(1+IF(E55="Si",(Listini!$M$153-100)/100,0)+IF(G55="Si",(Listini!$M$155-100)/100,0)),0)</f>
        <v>0</v>
      </c>
      <c r="M55" s="301">
        <f>IF(B55&lt;&gt;0,(VLOOKUP(B55,Listini!$A$118:$AD$121,12,FALSE)*C55+IF(D55&lt;&gt;0,VLOOKUP(CONCATENATE(B55,"-BR"),Listini!$A$147:$AD$150,12,FALSE)*D55,0))*(1+IF(E55="Si",(Listini!$N$153-100)/100,0)+IF(F55="Si",(Listini!$N$154-100)/100,0)+IF(G55="Si",(Listini!$N$155-100)/100,0)),0)</f>
        <v>0</v>
      </c>
      <c r="N55" s="301">
        <f>IF(B55&lt;&gt;0,VLOOKUP(B55,Listini!$A$118:$AD$121,15,FALSE)*C55*(1+IF(E55="Si",(Listini!$Q$153-100)/100,0)+IF(G55="Si",(Listini!$Q$155-100)/100,0)),0)</f>
        <v>0</v>
      </c>
      <c r="O55" s="301">
        <f>IF(B55&lt;&gt;0,(VLOOKUP(B55,Listini!$A$118:$AD$121,16,FALSE)*C55+IF(D55&lt;&gt;0,VLOOKUP(CONCATENATE(B55,"-BR"),Listini!$A$147:$AD$150,16,FALSE)*D55,0))*(1+IF(E55="Si",(Listini!$R$153-100)/100,0)+IF(F55="Si",(Listini!$R$154-100)/100,0)+IF(G55="Si",(Listini!$R$155-100)/100,0)),0)</f>
        <v>0</v>
      </c>
      <c r="P55" s="301">
        <f>IF(B55&lt;&gt;0,VLOOKUP(B55,Listini!$A$118:$AD$121,19,FALSE)*C55*(1+IF(E55="Si",(Listini!$U$153-100)/100,0)+IF(G55="Si",(Listini!$U$155-100)/100,0)),0)</f>
        <v>0</v>
      </c>
      <c r="Q55" s="301">
        <f>IF(B55&lt;&gt;0,(VLOOKUP(B55,Listini!$A$118:$AD$121,20,FALSE)*C55+IF(D55&lt;&gt;0,VLOOKUP(CONCATENATE(B55,"-BR"),Listini!$A$147:$AD$150,20,FALSE)*D55,0))*(1+IF(E55="Si",(Listini!$V$153-100)/100,0)+IF(F55="Si",(Listini!$V$154-100)/100,0)+IF(G55="Si",(Listini!$V$155-100)/100,0)),0)</f>
        <v>0</v>
      </c>
      <c r="R55" s="301">
        <f>IF(B55&lt;&gt;0,VLOOKUP(B55,Listini!$A$118:$AD$121,23,FALSE)*C55*(1+IF(E55="Si",(Listini!$Y$153-100)/100,0)+IF(G55="Si",(Listini!$Y$155-100)/100,0)),0)</f>
        <v>0</v>
      </c>
      <c r="S55" s="301">
        <f>IF(B55&lt;&gt;0,(VLOOKUP(B55,Listini!$A$118:$AD$121,24,FALSE)*C55+IF(D55&lt;&gt;0,VLOOKUP(CONCATENATE(B55,"-BR"),Listini!$A$147:$AD$150,24,FALSE)*D55,0))*(1+IF(E55="Si",(Listini!$Z$153-100)/100,0)+IF(F55="Si",(Listini!$Z$154-100)/100,0)+IF(G55="Si",(Listini!$Z$155-100)/100,0)),0)</f>
        <v>0</v>
      </c>
      <c r="T55" s="301">
        <f>IF(B55&lt;&gt;0,VLOOKUP(B55,Listini!$A$118:$AD$121,27,FALSE)*C55*(1+IF(E55="Si",(Listini!$AC$153-100)/100,0)+IF(G55="Si",(Listini!$AC$155-100)/100,0)),0)</f>
        <v>0</v>
      </c>
      <c r="U55" s="301">
        <f>IF(B55&lt;&gt;0,(VLOOKUP(B55,Listini!$A$118:$AD$121,28,FALSE)*C55+IF(D55&lt;&gt;0,VLOOKUP(CONCATENATE(B55,"-BR"),Listini!$A$147:$AD$150,28,FALSE)*D55,0))*(1+IF(E55="Si",(Listini!$AD$153-100)/100,0)+IF(F55="Si",(Listini!$AD$154-100)/100,0)+IF(G55="Si",(Listini!$AD$155-100)/100,0)),0)</f>
        <v>0</v>
      </c>
      <c r="V55" s="301">
        <f>IF(B55&lt;&gt;0,VLOOKUP(B55,'Listino Offerta'!$A$118:$AD$121,3,FALSE)*C55*(1+IF(E55="Si",('Listino Offerta'!$E$153-100)/100,0)+IF(G55="Si",('Listino Offerta'!$E$155-100)/100,0)),0)</f>
        <v>0</v>
      </c>
      <c r="W55" s="301">
        <f>IF(B55&lt;&gt;0,(VLOOKUP(B55,'Listino Offerta'!$A$118:$AD$121,4,FALSE)*C55+IF(D55&lt;&gt;0,VLOOKUP(CONCATENATE(B55,"-BR"),'Listino Offerta'!$A$147:$AD$150,4,FALSE)*D55,0))*(1+IF(E55="Si",('Listino Offerta'!$F$153-100)/100,0)+IF(F55="Si",('Listino Offerta'!$F$154-100)/100,0)+IF(G55="Si",('Listino Offerta'!$F$155-100)/100,0)),0)</f>
        <v>0</v>
      </c>
    </row>
    <row r="56" spans="1:23" s="302" customFormat="1" ht="12" customHeight="1">
      <c r="A56" s="303">
        <v>3</v>
      </c>
      <c r="B56" s="303">
        <f>'Servizi Com. Evoluta - VoIP'!D26</f>
        <v>0</v>
      </c>
      <c r="C56" s="302">
        <f>'Servizi Com. Evoluta - VoIP'!E26</f>
        <v>0</v>
      </c>
      <c r="D56" s="303">
        <f>'Servizi Com. Evoluta - VoIP'!F26</f>
        <v>0</v>
      </c>
      <c r="E56" s="299">
        <f>IF(AND('Servizi Com. Evoluta - VoIP'!G26="Si",'Servizi Com. Evoluta - VoIP'!H26&lt;&gt;"Si"),"Si","")</f>
      </c>
      <c r="F56" s="299">
        <f>IF(AND('Servizi Com. Evoluta - VoIP'!G26&lt;&gt;"Si",'Servizi Com. Evoluta - VoIP'!H26="Si"),"Si","")</f>
      </c>
      <c r="G56" s="299">
        <f>IF(AND('Servizi Com. Evoluta - VoIP'!G26="Si",'Servizi Com. Evoluta - VoIP'!H26="Si"),"Si","")</f>
      </c>
      <c r="H56" s="301">
        <f>IF(B56&lt;&gt;0,VLOOKUP(B56,Listini!$A$118:$AD$121,3,FALSE)*C56*(1+IF(E56="Si",(Listini!$E$153-100)/100,0)+IF(G56="Si",(Listini!$E$155-100)/100,0)),0)</f>
        <v>0</v>
      </c>
      <c r="I56" s="301">
        <f>IF(B56&lt;&gt;0,(VLOOKUP(B56,Listini!$A$118:$AD$121,4,FALSE)*C56+IF(D56&lt;&gt;0,VLOOKUP(CONCATENATE(B56,"-BR"),Listini!$A$147:$AD$150,4,FALSE)*D56,0))*(1+IF(E56="Si",(Listini!$F$153-100)/100,0)+IF(F56="Si",(Listini!$F$154-100)/100,0)+IF(G56="Si",(Listini!$F$155-100)/100,0)),0)</f>
        <v>0</v>
      </c>
      <c r="J56" s="301">
        <f>IF(B56&lt;&gt;0,VLOOKUP(B56,Listini!$A$118:$AD$121,7,FALSE)*C56*(1+IF(E56="Si",(Listini!$I$153-100)/100,0)+IF(G56="Si",(Listini!$I$155-100)/100,0)),0)</f>
        <v>0</v>
      </c>
      <c r="K56" s="301">
        <f>IF(B56&lt;&gt;0,(VLOOKUP(B56,Listini!$A$118:$AD$121,8,FALSE)*C56+IF(D56&lt;&gt;0,VLOOKUP(CONCATENATE(B56,"-BR"),Listini!$A$147:$AD$150,8,FALSE)*D56,0))*(1+IF(E56="Si",(Listini!$J$153-100)/100,0)+IF(F56="Si",(Listini!$J$154-100)/100,0)+IF(G56="Si",(Listini!$J$155-100)/100,0)),0)</f>
        <v>0</v>
      </c>
      <c r="L56" s="301">
        <f>IF(B56&lt;&gt;0,VLOOKUP(B56,Listini!$A$118:$AD$121,11,FALSE)*C56*(1+IF(E56="Si",(Listini!$M$153-100)/100,0)+IF(G56="Si",(Listini!$M$155-100)/100,0)),0)</f>
        <v>0</v>
      </c>
      <c r="M56" s="301">
        <f>IF(B56&lt;&gt;0,(VLOOKUP(B56,Listini!$A$118:$AD$121,12,FALSE)*C56+IF(D56&lt;&gt;0,VLOOKUP(CONCATENATE(B56,"-BR"),Listini!$A$147:$AD$150,12,FALSE)*D56,0))*(1+IF(E56="Si",(Listini!$N$153-100)/100,0)+IF(F56="Si",(Listini!$N$154-100)/100,0)+IF(G56="Si",(Listini!$N$155-100)/100,0)),0)</f>
        <v>0</v>
      </c>
      <c r="N56" s="301">
        <f>IF(B56&lt;&gt;0,VLOOKUP(B56,Listini!$A$118:$AD$121,15,FALSE)*C56*(1+IF(E56="Si",(Listini!$Q$153-100)/100,0)+IF(G56="Si",(Listini!$Q$155-100)/100,0)),0)</f>
        <v>0</v>
      </c>
      <c r="O56" s="301">
        <f>IF(B56&lt;&gt;0,(VLOOKUP(B56,Listini!$A$118:$AD$121,16,FALSE)*C56+IF(D56&lt;&gt;0,VLOOKUP(CONCATENATE(B56,"-BR"),Listini!$A$147:$AD$150,16,FALSE)*D56,0))*(1+IF(E56="Si",(Listini!$R$153-100)/100,0)+IF(F56="Si",(Listini!$R$154-100)/100,0)+IF(G56="Si",(Listini!$R$155-100)/100,0)),0)</f>
        <v>0</v>
      </c>
      <c r="P56" s="301">
        <f>IF(B56&lt;&gt;0,VLOOKUP(B56,Listini!$A$118:$AD$121,19,FALSE)*C56*(1+IF(E56="Si",(Listini!$U$153-100)/100,0)+IF(G56="Si",(Listini!$U$155-100)/100,0)),0)</f>
        <v>0</v>
      </c>
      <c r="Q56" s="301">
        <f>IF(B56&lt;&gt;0,(VLOOKUP(B56,Listini!$A$118:$AD$121,20,FALSE)*C56+IF(D56&lt;&gt;0,VLOOKUP(CONCATENATE(B56,"-BR"),Listini!$A$147:$AD$150,20,FALSE)*D56,0))*(1+IF(E56="Si",(Listini!$V$153-100)/100,0)+IF(F56="Si",(Listini!$V$154-100)/100,0)+IF(G56="Si",(Listini!$V$155-100)/100,0)),0)</f>
        <v>0</v>
      </c>
      <c r="R56" s="301">
        <f>IF(B56&lt;&gt;0,VLOOKUP(B56,Listini!$A$118:$AD$121,23,FALSE)*C56*(1+IF(E56="Si",(Listini!$Y$153-100)/100,0)+IF(G56="Si",(Listini!$Y$155-100)/100,0)),0)</f>
        <v>0</v>
      </c>
      <c r="S56" s="301">
        <f>IF(B56&lt;&gt;0,(VLOOKUP(B56,Listini!$A$118:$AD$121,24,FALSE)*C56+IF(D56&lt;&gt;0,VLOOKUP(CONCATENATE(B56,"-BR"),Listini!$A$147:$AD$150,24,FALSE)*D56,0))*(1+IF(E56="Si",(Listini!$Z$153-100)/100,0)+IF(F56="Si",(Listini!$Z$154-100)/100,0)+IF(G56="Si",(Listini!$Z$155-100)/100,0)),0)</f>
        <v>0</v>
      </c>
      <c r="T56" s="301">
        <f>IF(B56&lt;&gt;0,VLOOKUP(B56,Listini!$A$118:$AD$121,27,FALSE)*C56*(1+IF(E56="Si",(Listini!$AC$153-100)/100,0)+IF(G56="Si",(Listini!$AC$155-100)/100,0)),0)</f>
        <v>0</v>
      </c>
      <c r="U56" s="301">
        <f>IF(B56&lt;&gt;0,(VLOOKUP(B56,Listini!$A$118:$AD$121,28,FALSE)*C56+IF(D56&lt;&gt;0,VLOOKUP(CONCATENATE(B56,"-BR"),Listini!$A$147:$AD$150,28,FALSE)*D56,0))*(1+IF(E56="Si",(Listini!$AD$153-100)/100,0)+IF(F56="Si",(Listini!$AD$154-100)/100,0)+IF(G56="Si",(Listini!$AD$155-100)/100,0)),0)</f>
        <v>0</v>
      </c>
      <c r="V56" s="301">
        <f>IF(B56&lt;&gt;0,VLOOKUP(B56,'Listino Offerta'!$A$118:$AD$121,3,FALSE)*C56*(1+IF(E56="Si",('Listino Offerta'!$E$153-100)/100,0)+IF(G56="Si",('Listino Offerta'!$E$155-100)/100,0)),0)</f>
        <v>0</v>
      </c>
      <c r="W56" s="301">
        <f>IF(B56&lt;&gt;0,(VLOOKUP(B56,'Listino Offerta'!$A$118:$AD$121,4,FALSE)*C56+IF(D56&lt;&gt;0,VLOOKUP(CONCATENATE(B56,"-BR"),'Listino Offerta'!$A$147:$AD$150,4,FALSE)*D56,0))*(1+IF(E56="Si",('Listino Offerta'!$F$153-100)/100,0)+IF(F56="Si",('Listino Offerta'!$F$154-100)/100,0)+IF(G56="Si",('Listino Offerta'!$F$155-100)/100,0)),0)</f>
        <v>0</v>
      </c>
    </row>
    <row r="57" spans="1:23" s="302" customFormat="1" ht="12" customHeight="1">
      <c r="A57" s="303">
        <v>4</v>
      </c>
      <c r="B57" s="303">
        <f>'Servizi Com. Evoluta - VoIP'!D27</f>
        <v>0</v>
      </c>
      <c r="C57" s="302">
        <f>'Servizi Com. Evoluta - VoIP'!E27</f>
        <v>0</v>
      </c>
      <c r="D57" s="303">
        <f>'Servizi Com. Evoluta - VoIP'!F27</f>
        <v>0</v>
      </c>
      <c r="E57" s="299">
        <f>IF(AND('Servizi Com. Evoluta - VoIP'!G27="Si",'Servizi Com. Evoluta - VoIP'!H27&lt;&gt;"Si"),"Si","")</f>
      </c>
      <c r="F57" s="299">
        <f>IF(AND('Servizi Com. Evoluta - VoIP'!G27&lt;&gt;"Si",'Servizi Com. Evoluta - VoIP'!H27="Si"),"Si","")</f>
      </c>
      <c r="G57" s="299">
        <f>IF(AND('Servizi Com. Evoluta - VoIP'!G27="Si",'Servizi Com. Evoluta - VoIP'!H27="Si"),"Si","")</f>
      </c>
      <c r="H57" s="301">
        <f>IF(B57&lt;&gt;0,VLOOKUP(B57,Listini!$A$118:$AD$121,3,FALSE)*C57*(1+IF(E57="Si",(Listini!$E$153-100)/100,0)+IF(G57="Si",(Listini!$E$155-100)/100,0)),0)</f>
        <v>0</v>
      </c>
      <c r="I57" s="301">
        <f>IF(B57&lt;&gt;0,(VLOOKUP(B57,Listini!$A$118:$AD$121,4,FALSE)*C57+IF(D57&lt;&gt;0,VLOOKUP(CONCATENATE(B57,"-BR"),Listini!$A$147:$AD$150,4,FALSE)*D57,0))*(1+IF(E57="Si",(Listini!$F$153-100)/100,0)+IF(F57="Si",(Listini!$F$154-100)/100,0)+IF(G57="Si",(Listini!$F$155-100)/100,0)),0)</f>
        <v>0</v>
      </c>
      <c r="J57" s="301">
        <f>IF(B57&lt;&gt;0,VLOOKUP(B57,Listini!$A$118:$AD$121,7,FALSE)*C57*(1+IF(E57="Si",(Listini!$I$153-100)/100,0)+IF(G57="Si",(Listini!$I$155-100)/100,0)),0)</f>
        <v>0</v>
      </c>
      <c r="K57" s="301">
        <f>IF(B57&lt;&gt;0,(VLOOKUP(B57,Listini!$A$118:$AD$121,8,FALSE)*C57+IF(D57&lt;&gt;0,VLOOKUP(CONCATENATE(B57,"-BR"),Listini!$A$147:$AD$150,8,FALSE)*D57,0))*(1+IF(E57="Si",(Listini!$J$153-100)/100,0)+IF(F57="Si",(Listini!$J$154-100)/100,0)+IF(G57="Si",(Listini!$J$155-100)/100,0)),0)</f>
        <v>0</v>
      </c>
      <c r="L57" s="301">
        <f>IF(B57&lt;&gt;0,VLOOKUP(B57,Listini!$A$118:$AD$121,11,FALSE)*C57*(1+IF(E57="Si",(Listini!$M$153-100)/100,0)+IF(G57="Si",(Listini!$M$155-100)/100,0)),0)</f>
        <v>0</v>
      </c>
      <c r="M57" s="301">
        <f>IF(B57&lt;&gt;0,(VLOOKUP(B57,Listini!$A$118:$AD$121,12,FALSE)*C57+IF(D57&lt;&gt;0,VLOOKUP(CONCATENATE(B57,"-BR"),Listini!$A$147:$AD$150,12,FALSE)*D57,0))*(1+IF(E57="Si",(Listini!$N$153-100)/100,0)+IF(F57="Si",(Listini!$N$154-100)/100,0)+IF(G57="Si",(Listini!$N$155-100)/100,0)),0)</f>
        <v>0</v>
      </c>
      <c r="N57" s="301">
        <f>IF(B57&lt;&gt;0,VLOOKUP(B57,Listini!$A$118:$AD$121,15,FALSE)*C57*(1+IF(E57="Si",(Listini!$Q$153-100)/100,0)+IF(G57="Si",(Listini!$Q$155-100)/100,0)),0)</f>
        <v>0</v>
      </c>
      <c r="O57" s="301">
        <f>IF(B57&lt;&gt;0,(VLOOKUP(B57,Listini!$A$118:$AD$121,16,FALSE)*C57+IF(D57&lt;&gt;0,VLOOKUP(CONCATENATE(B57,"-BR"),Listini!$A$147:$AD$150,16,FALSE)*D57,0))*(1+IF(E57="Si",(Listini!$R$153-100)/100,0)+IF(F57="Si",(Listini!$R$154-100)/100,0)+IF(G57="Si",(Listini!$R$155-100)/100,0)),0)</f>
        <v>0</v>
      </c>
      <c r="P57" s="301">
        <f>IF(B57&lt;&gt;0,VLOOKUP(B57,Listini!$A$118:$AD$121,19,FALSE)*C57*(1+IF(E57="Si",(Listini!$U$153-100)/100,0)+IF(G57="Si",(Listini!$U$155-100)/100,0)),0)</f>
        <v>0</v>
      </c>
      <c r="Q57" s="301">
        <f>IF(B57&lt;&gt;0,(VLOOKUP(B57,Listini!$A$118:$AD$121,20,FALSE)*C57+IF(D57&lt;&gt;0,VLOOKUP(CONCATENATE(B57,"-BR"),Listini!$A$147:$AD$150,20,FALSE)*D57,0))*(1+IF(E57="Si",(Listini!$V$153-100)/100,0)+IF(F57="Si",(Listini!$V$154-100)/100,0)+IF(G57="Si",(Listini!$V$155-100)/100,0)),0)</f>
        <v>0</v>
      </c>
      <c r="R57" s="301">
        <f>IF(B57&lt;&gt;0,VLOOKUP(B57,Listini!$A$118:$AD$121,23,FALSE)*C57*(1+IF(E57="Si",(Listini!$Y$153-100)/100,0)+IF(G57="Si",(Listini!$Y$155-100)/100,0)),0)</f>
        <v>0</v>
      </c>
      <c r="S57" s="301">
        <f>IF(B57&lt;&gt;0,(VLOOKUP(B57,Listini!$A$118:$AD$121,24,FALSE)*C57+IF(D57&lt;&gt;0,VLOOKUP(CONCATENATE(B57,"-BR"),Listini!$A$147:$AD$150,24,FALSE)*D57,0))*(1+IF(E57="Si",(Listini!$Z$153-100)/100,0)+IF(F57="Si",(Listini!$Z$154-100)/100,0)+IF(G57="Si",(Listini!$Z$155-100)/100,0)),0)</f>
        <v>0</v>
      </c>
      <c r="T57" s="301">
        <f>IF(B57&lt;&gt;0,VLOOKUP(B57,Listini!$A$118:$AD$121,27,FALSE)*C57*(1+IF(E57="Si",(Listini!$AC$153-100)/100,0)+IF(G57="Si",(Listini!$AC$155-100)/100,0)),0)</f>
        <v>0</v>
      </c>
      <c r="U57" s="301">
        <f>IF(B57&lt;&gt;0,(VLOOKUP(B57,Listini!$A$118:$AD$121,28,FALSE)*C57+IF(D57&lt;&gt;0,VLOOKUP(CONCATENATE(B57,"-BR"),Listini!$A$147:$AD$150,28,FALSE)*D57,0))*(1+IF(E57="Si",(Listini!$AD$153-100)/100,0)+IF(F57="Si",(Listini!$AD$154-100)/100,0)+IF(G57="Si",(Listini!$AD$155-100)/100,0)),0)</f>
        <v>0</v>
      </c>
      <c r="V57" s="301">
        <f>IF(B57&lt;&gt;0,VLOOKUP(B57,'Listino Offerta'!$A$118:$AD$121,3,FALSE)*C57*(1+IF(E57="Si",('Listino Offerta'!$E$153-100)/100,0)+IF(G57="Si",('Listino Offerta'!$E$155-100)/100,0)),0)</f>
        <v>0</v>
      </c>
      <c r="W57" s="301">
        <f>IF(B57&lt;&gt;0,(VLOOKUP(B57,'Listino Offerta'!$A$118:$AD$121,4,FALSE)*C57+IF(D57&lt;&gt;0,VLOOKUP(CONCATENATE(B57,"-BR"),'Listino Offerta'!$A$147:$AD$150,4,FALSE)*D57,0))*(1+IF(E57="Si",('Listino Offerta'!$F$153-100)/100,0)+IF(F57="Si",('Listino Offerta'!$F$154-100)/100,0)+IF(G57="Si",('Listino Offerta'!$F$155-100)/100,0)),0)</f>
        <v>0</v>
      </c>
    </row>
    <row r="58" spans="1:23" s="302" customFormat="1" ht="12" customHeight="1">
      <c r="A58" s="303">
        <v>5</v>
      </c>
      <c r="B58" s="303">
        <f>'Servizi Com. Evoluta - VoIP'!D28</f>
        <v>0</v>
      </c>
      <c r="C58" s="302">
        <f>'Servizi Com. Evoluta - VoIP'!E28</f>
        <v>0</v>
      </c>
      <c r="D58" s="303">
        <f>'Servizi Com. Evoluta - VoIP'!F28</f>
        <v>0</v>
      </c>
      <c r="E58" s="299">
        <f>IF(AND('Servizi Com. Evoluta - VoIP'!G28="Si",'Servizi Com. Evoluta - VoIP'!H28&lt;&gt;"Si"),"Si","")</f>
      </c>
      <c r="F58" s="299">
        <f>IF(AND('Servizi Com. Evoluta - VoIP'!G28&lt;&gt;"Si",'Servizi Com. Evoluta - VoIP'!H28="Si"),"Si","")</f>
      </c>
      <c r="G58" s="299">
        <f>IF(AND('Servizi Com. Evoluta - VoIP'!G28="Si",'Servizi Com. Evoluta - VoIP'!H28="Si"),"Si","")</f>
      </c>
      <c r="H58" s="301">
        <f>IF(B58&lt;&gt;0,VLOOKUP(B58,Listini!$A$118:$AD$121,3,FALSE)*C58*(1+IF(E58="Si",(Listini!$E$153-100)/100,0)+IF(G58="Si",(Listini!$E$155-100)/100,0)),0)</f>
        <v>0</v>
      </c>
      <c r="I58" s="301">
        <f>IF(B58&lt;&gt;0,(VLOOKUP(B58,Listini!$A$118:$AD$121,4,FALSE)*C58+IF(D58&lt;&gt;0,VLOOKUP(CONCATENATE(B58,"-BR"),Listini!$A$147:$AD$150,4,FALSE)*D58,0))*(1+IF(E58="Si",(Listini!$F$153-100)/100,0)+IF(F58="Si",(Listini!$F$154-100)/100,0)+IF(G58="Si",(Listini!$F$155-100)/100,0)),0)</f>
        <v>0</v>
      </c>
      <c r="J58" s="301">
        <f>IF(B58&lt;&gt;0,VLOOKUP(B58,Listini!$A$118:$AD$121,7,FALSE)*C58*(1+IF(E58="Si",(Listini!$I$153-100)/100,0)+IF(G58="Si",(Listini!$I$155-100)/100,0)),0)</f>
        <v>0</v>
      </c>
      <c r="K58" s="301">
        <f>IF(B58&lt;&gt;0,(VLOOKUP(B58,Listini!$A$118:$AD$121,8,FALSE)*C58+IF(D58&lt;&gt;0,VLOOKUP(CONCATENATE(B58,"-BR"),Listini!$A$147:$AD$150,8,FALSE)*D58,0))*(1+IF(E58="Si",(Listini!$J$153-100)/100,0)+IF(F58="Si",(Listini!$J$154-100)/100,0)+IF(G58="Si",(Listini!$J$155-100)/100,0)),0)</f>
        <v>0</v>
      </c>
      <c r="L58" s="301">
        <f>IF(B58&lt;&gt;0,VLOOKUP(B58,Listini!$A$118:$AD$121,11,FALSE)*C58*(1+IF(E58="Si",(Listini!$M$153-100)/100,0)+IF(G58="Si",(Listini!$M$155-100)/100,0)),0)</f>
        <v>0</v>
      </c>
      <c r="M58" s="301">
        <f>IF(B58&lt;&gt;0,(VLOOKUP(B58,Listini!$A$118:$AD$121,12,FALSE)*C58+IF(D58&lt;&gt;0,VLOOKUP(CONCATENATE(B58,"-BR"),Listini!$A$147:$AD$150,12,FALSE)*D58,0))*(1+IF(E58="Si",(Listini!$N$153-100)/100,0)+IF(F58="Si",(Listini!$N$154-100)/100,0)+IF(G58="Si",(Listini!$N$155-100)/100,0)),0)</f>
        <v>0</v>
      </c>
      <c r="N58" s="301">
        <f>IF(B58&lt;&gt;0,VLOOKUP(B58,Listini!$A$118:$AD$121,15,FALSE)*C58*(1+IF(E58="Si",(Listini!$Q$153-100)/100,0)+IF(G58="Si",(Listini!$Q$155-100)/100,0)),0)</f>
        <v>0</v>
      </c>
      <c r="O58" s="301">
        <f>IF(B58&lt;&gt;0,(VLOOKUP(B58,Listini!$A$118:$AD$121,16,FALSE)*C58+IF(D58&lt;&gt;0,VLOOKUP(CONCATENATE(B58,"-BR"),Listini!$A$147:$AD$150,16,FALSE)*D58,0))*(1+IF(E58="Si",(Listini!$R$153-100)/100,0)+IF(F58="Si",(Listini!$R$154-100)/100,0)+IF(G58="Si",(Listini!$R$155-100)/100,0)),0)</f>
        <v>0</v>
      </c>
      <c r="P58" s="301">
        <f>IF(B58&lt;&gt;0,VLOOKUP(B58,Listini!$A$118:$AD$121,19,FALSE)*C58*(1+IF(E58="Si",(Listini!$U$153-100)/100,0)+IF(G58="Si",(Listini!$U$155-100)/100,0)),0)</f>
        <v>0</v>
      </c>
      <c r="Q58" s="301">
        <f>IF(B58&lt;&gt;0,(VLOOKUP(B58,Listini!$A$118:$AD$121,20,FALSE)*C58+IF(D58&lt;&gt;0,VLOOKUP(CONCATENATE(B58,"-BR"),Listini!$A$147:$AD$150,20,FALSE)*D58,0))*(1+IF(E58="Si",(Listini!$V$153-100)/100,0)+IF(F58="Si",(Listini!$V$154-100)/100,0)+IF(G58="Si",(Listini!$V$155-100)/100,0)),0)</f>
        <v>0</v>
      </c>
      <c r="R58" s="301">
        <f>IF(B58&lt;&gt;0,VLOOKUP(B58,Listini!$A$118:$AD$121,23,FALSE)*C58*(1+IF(E58="Si",(Listini!$Y$153-100)/100,0)+IF(G58="Si",(Listini!$Y$155-100)/100,0)),0)</f>
        <v>0</v>
      </c>
      <c r="S58" s="301">
        <f>IF(B58&lt;&gt;0,(VLOOKUP(B58,Listini!$A$118:$AD$121,24,FALSE)*C58+IF(D58&lt;&gt;0,VLOOKUP(CONCATENATE(B58,"-BR"),Listini!$A$147:$AD$150,24,FALSE)*D58,0))*(1+IF(E58="Si",(Listini!$Z$153-100)/100,0)+IF(F58="Si",(Listini!$Z$154-100)/100,0)+IF(G58="Si",(Listini!$Z$155-100)/100,0)),0)</f>
        <v>0</v>
      </c>
      <c r="T58" s="301">
        <f>IF(B58&lt;&gt;0,VLOOKUP(B58,Listini!$A$118:$AD$121,27,FALSE)*C58*(1+IF(E58="Si",(Listini!$AC$153-100)/100,0)+IF(G58="Si",(Listini!$AC$155-100)/100,0)),0)</f>
        <v>0</v>
      </c>
      <c r="U58" s="301">
        <f>IF(B58&lt;&gt;0,(VLOOKUP(B58,Listini!$A$118:$AD$121,28,FALSE)*C58+IF(D58&lt;&gt;0,VLOOKUP(CONCATENATE(B58,"-BR"),Listini!$A$147:$AD$150,28,FALSE)*D58,0))*(1+IF(E58="Si",(Listini!$AD$153-100)/100,0)+IF(F58="Si",(Listini!$AD$154-100)/100,0)+IF(G58="Si",(Listini!$AD$155-100)/100,0)),0)</f>
        <v>0</v>
      </c>
      <c r="V58" s="301">
        <f>IF(B58&lt;&gt;0,VLOOKUP(B58,'Listino Offerta'!$A$118:$AD$121,3,FALSE)*C58*(1+IF(E58="Si",('Listino Offerta'!$E$153-100)/100,0)+IF(G58="Si",('Listino Offerta'!$E$155-100)/100,0)),0)</f>
        <v>0</v>
      </c>
      <c r="W58" s="301">
        <f>IF(B58&lt;&gt;0,(VLOOKUP(B58,'Listino Offerta'!$A$118:$AD$121,4,FALSE)*C58+IF(D58&lt;&gt;0,VLOOKUP(CONCATENATE(B58,"-BR"),'Listino Offerta'!$A$147:$AD$150,4,FALSE)*D58,0))*(1+IF(E58="Si",('Listino Offerta'!$F$153-100)/100,0)+IF(F58="Si",('Listino Offerta'!$F$154-100)/100,0)+IF(G58="Si",('Listino Offerta'!$F$155-100)/100,0)),0)</f>
        <v>0</v>
      </c>
    </row>
    <row r="59" spans="1:23" s="302" customFormat="1" ht="12" customHeight="1">
      <c r="A59" s="303">
        <v>6</v>
      </c>
      <c r="B59" s="303">
        <f>'Servizi Com. Evoluta - VoIP'!D29</f>
        <v>0</v>
      </c>
      <c r="C59" s="302">
        <f>'Servizi Com. Evoluta - VoIP'!E29</f>
        <v>0</v>
      </c>
      <c r="D59" s="303">
        <f>'Servizi Com. Evoluta - VoIP'!F29</f>
        <v>0</v>
      </c>
      <c r="E59" s="299">
        <f>IF(AND('Servizi Com. Evoluta - VoIP'!G29="Si",'Servizi Com. Evoluta - VoIP'!H29&lt;&gt;"Si"),"Si","")</f>
      </c>
      <c r="F59" s="299">
        <f>IF(AND('Servizi Com. Evoluta - VoIP'!G29&lt;&gt;"Si",'Servizi Com. Evoluta - VoIP'!H29="Si"),"Si","")</f>
      </c>
      <c r="G59" s="299">
        <f>IF(AND('Servizi Com. Evoluta - VoIP'!G29="Si",'Servizi Com. Evoluta - VoIP'!H29="Si"),"Si","")</f>
      </c>
      <c r="H59" s="301">
        <f>IF(B59&lt;&gt;0,VLOOKUP(B59,Listini!$A$118:$AD$121,3,FALSE)*C59*(1+IF(E59="Si",(Listini!$E$153-100)/100,0)+IF(G59="Si",(Listini!$E$155-100)/100,0)),0)</f>
        <v>0</v>
      </c>
      <c r="I59" s="301">
        <f>IF(B59&lt;&gt;0,(VLOOKUP(B59,Listini!$A$118:$AD$121,4,FALSE)*C59+IF(D59&lt;&gt;0,VLOOKUP(CONCATENATE(B59,"-BR"),Listini!$A$147:$AD$150,4,FALSE)*D59,0))*(1+IF(E59="Si",(Listini!$F$153-100)/100,0)+IF(F59="Si",(Listini!$F$154-100)/100,0)+IF(G59="Si",(Listini!$F$155-100)/100,0)),0)</f>
        <v>0</v>
      </c>
      <c r="J59" s="301">
        <f>IF(B59&lt;&gt;0,VLOOKUP(B59,Listini!$A$118:$AD$121,7,FALSE)*C59*(1+IF(E59="Si",(Listini!$I$153-100)/100,0)+IF(G59="Si",(Listini!$I$155-100)/100,0)),0)</f>
        <v>0</v>
      </c>
      <c r="K59" s="301">
        <f>IF(B59&lt;&gt;0,(VLOOKUP(B59,Listini!$A$118:$AD$121,8,FALSE)*C59+IF(D59&lt;&gt;0,VLOOKUP(CONCATENATE(B59,"-BR"),Listini!$A$147:$AD$150,8,FALSE)*D59,0))*(1+IF(E59="Si",(Listini!$J$153-100)/100,0)+IF(F59="Si",(Listini!$J$154-100)/100,0)+IF(G59="Si",(Listini!$J$155-100)/100,0)),0)</f>
        <v>0</v>
      </c>
      <c r="L59" s="301">
        <f>IF(B59&lt;&gt;0,VLOOKUP(B59,Listini!$A$118:$AD$121,11,FALSE)*C59*(1+IF(E59="Si",(Listini!$M$153-100)/100,0)+IF(G59="Si",(Listini!$M$155-100)/100,0)),0)</f>
        <v>0</v>
      </c>
      <c r="M59" s="301">
        <f>IF(B59&lt;&gt;0,(VLOOKUP(B59,Listini!$A$118:$AD$121,12,FALSE)*C59+IF(D59&lt;&gt;0,VLOOKUP(CONCATENATE(B59,"-BR"),Listini!$A$147:$AD$150,12,FALSE)*D59,0))*(1+IF(E59="Si",(Listini!$N$153-100)/100,0)+IF(F59="Si",(Listini!$N$154-100)/100,0)+IF(G59="Si",(Listini!$N$155-100)/100,0)),0)</f>
        <v>0</v>
      </c>
      <c r="N59" s="301">
        <f>IF(B59&lt;&gt;0,VLOOKUP(B59,Listini!$A$118:$AD$121,15,FALSE)*C59*(1+IF(E59="Si",(Listini!$Q$153-100)/100,0)+IF(G59="Si",(Listini!$Q$155-100)/100,0)),0)</f>
        <v>0</v>
      </c>
      <c r="O59" s="301">
        <f>IF(B59&lt;&gt;0,(VLOOKUP(B59,Listini!$A$118:$AD$121,16,FALSE)*C59+IF(D59&lt;&gt;0,VLOOKUP(CONCATENATE(B59,"-BR"),Listini!$A$147:$AD$150,16,FALSE)*D59,0))*(1+IF(E59="Si",(Listini!$R$153-100)/100,0)+IF(F59="Si",(Listini!$R$154-100)/100,0)+IF(G59="Si",(Listini!$R$155-100)/100,0)),0)</f>
        <v>0</v>
      </c>
      <c r="P59" s="301">
        <f>IF(B59&lt;&gt;0,VLOOKUP(B59,Listini!$A$118:$AD$121,19,FALSE)*C59*(1+IF(E59="Si",(Listini!$U$153-100)/100,0)+IF(G59="Si",(Listini!$U$155-100)/100,0)),0)</f>
        <v>0</v>
      </c>
      <c r="Q59" s="301">
        <f>IF(B59&lt;&gt;0,(VLOOKUP(B59,Listini!$A$118:$AD$121,20,FALSE)*C59+IF(D59&lt;&gt;0,VLOOKUP(CONCATENATE(B59,"-BR"),Listini!$A$147:$AD$150,20,FALSE)*D59,0))*(1+IF(E59="Si",(Listini!$V$153-100)/100,0)+IF(F59="Si",(Listini!$V$154-100)/100,0)+IF(G59="Si",(Listini!$V$155-100)/100,0)),0)</f>
        <v>0</v>
      </c>
      <c r="R59" s="301">
        <f>IF(B59&lt;&gt;0,VLOOKUP(B59,Listini!$A$118:$AD$121,23,FALSE)*C59*(1+IF(E59="Si",(Listini!$Y$153-100)/100,0)+IF(G59="Si",(Listini!$Y$155-100)/100,0)),0)</f>
        <v>0</v>
      </c>
      <c r="S59" s="301">
        <f>IF(B59&lt;&gt;0,(VLOOKUP(B59,Listini!$A$118:$AD$121,24,FALSE)*C59+IF(D59&lt;&gt;0,VLOOKUP(CONCATENATE(B59,"-BR"),Listini!$A$147:$AD$150,24,FALSE)*D59,0))*(1+IF(E59="Si",(Listini!$Z$153-100)/100,0)+IF(F59="Si",(Listini!$Z$154-100)/100,0)+IF(G59="Si",(Listini!$Z$155-100)/100,0)),0)</f>
        <v>0</v>
      </c>
      <c r="T59" s="301">
        <f>IF(B59&lt;&gt;0,VLOOKUP(B59,Listini!$A$118:$AD$121,27,FALSE)*C59*(1+IF(E59="Si",(Listini!$AC$153-100)/100,0)+IF(G59="Si",(Listini!$AC$155-100)/100,0)),0)</f>
        <v>0</v>
      </c>
      <c r="U59" s="301">
        <f>IF(B59&lt;&gt;0,(VLOOKUP(B59,Listini!$A$118:$AD$121,28,FALSE)*C59+IF(D59&lt;&gt;0,VLOOKUP(CONCATENATE(B59,"-BR"),Listini!$A$147:$AD$150,28,FALSE)*D59,0))*(1+IF(E59="Si",(Listini!$AD$153-100)/100,0)+IF(F59="Si",(Listini!$AD$154-100)/100,0)+IF(G59="Si",(Listini!$AD$155-100)/100,0)),0)</f>
        <v>0</v>
      </c>
      <c r="V59" s="301">
        <f>IF(B59&lt;&gt;0,VLOOKUP(B59,'Listino Offerta'!$A$118:$AD$121,3,FALSE)*C59*(1+IF(E59="Si",('Listino Offerta'!$E$153-100)/100,0)+IF(G59="Si",('Listino Offerta'!$E$155-100)/100,0)),0)</f>
        <v>0</v>
      </c>
      <c r="W59" s="301">
        <f>IF(B59&lt;&gt;0,(VLOOKUP(B59,'Listino Offerta'!$A$118:$AD$121,4,FALSE)*C59+IF(D59&lt;&gt;0,VLOOKUP(CONCATENATE(B59,"-BR"),'Listino Offerta'!$A$147:$AD$150,4,FALSE)*D59,0))*(1+IF(E59="Si",('Listino Offerta'!$F$153-100)/100,0)+IF(F59="Si",('Listino Offerta'!$F$154-100)/100,0)+IF(G59="Si",('Listino Offerta'!$F$155-100)/100,0)),0)</f>
        <v>0</v>
      </c>
    </row>
    <row r="60" spans="1:23" s="302" customFormat="1" ht="12" customHeight="1">
      <c r="A60" s="303">
        <v>7</v>
      </c>
      <c r="B60" s="303">
        <f>'Servizi Com. Evoluta - VoIP'!D30</f>
        <v>0</v>
      </c>
      <c r="C60" s="302">
        <f>'Servizi Com. Evoluta - VoIP'!E30</f>
        <v>0</v>
      </c>
      <c r="D60" s="303">
        <f>'Servizi Com. Evoluta - VoIP'!F30</f>
        <v>0</v>
      </c>
      <c r="E60" s="299">
        <f>IF(AND('Servizi Com. Evoluta - VoIP'!G30="Si",'Servizi Com. Evoluta - VoIP'!H30&lt;&gt;"Si"),"Si","")</f>
      </c>
      <c r="F60" s="299">
        <f>IF(AND('Servizi Com. Evoluta - VoIP'!G30&lt;&gt;"Si",'Servizi Com. Evoluta - VoIP'!H30="Si"),"Si","")</f>
      </c>
      <c r="G60" s="299">
        <f>IF(AND('Servizi Com. Evoluta - VoIP'!G30="Si",'Servizi Com. Evoluta - VoIP'!H30="Si"),"Si","")</f>
      </c>
      <c r="H60" s="301">
        <f>IF(B60&lt;&gt;0,VLOOKUP(B60,Listini!$A$118:$AD$121,3,FALSE)*C60*(1+IF(E60="Si",(Listini!$E$153-100)/100,0)+IF(G60="Si",(Listini!$E$155-100)/100,0)),0)</f>
        <v>0</v>
      </c>
      <c r="I60" s="301">
        <f>IF(B60&lt;&gt;0,(VLOOKUP(B60,Listini!$A$118:$AD$121,4,FALSE)*C60+IF(D60&lt;&gt;0,VLOOKUP(CONCATENATE(B60,"-BR"),Listini!$A$147:$AD$150,4,FALSE)*D60,0))*(1+IF(E60="Si",(Listini!$F$153-100)/100,0)+IF(F60="Si",(Listini!$F$154-100)/100,0)+IF(G60="Si",(Listini!$F$155-100)/100,0)),0)</f>
        <v>0</v>
      </c>
      <c r="J60" s="301">
        <f>IF(B60&lt;&gt;0,VLOOKUP(B60,Listini!$A$118:$AD$121,7,FALSE)*C60*(1+IF(E60="Si",(Listini!$I$153-100)/100,0)+IF(G60="Si",(Listini!$I$155-100)/100,0)),0)</f>
        <v>0</v>
      </c>
      <c r="K60" s="301">
        <f>IF(B60&lt;&gt;0,(VLOOKUP(B60,Listini!$A$118:$AD$121,8,FALSE)*C60+IF(D60&lt;&gt;0,VLOOKUP(CONCATENATE(B60,"-BR"),Listini!$A$147:$AD$150,8,FALSE)*D60,0))*(1+IF(E60="Si",(Listini!$J$153-100)/100,0)+IF(F60="Si",(Listini!$J$154-100)/100,0)+IF(G60="Si",(Listini!$J$155-100)/100,0)),0)</f>
        <v>0</v>
      </c>
      <c r="L60" s="301">
        <f>IF(B60&lt;&gt;0,VLOOKUP(B60,Listini!$A$118:$AD$121,11,FALSE)*C60*(1+IF(E60="Si",(Listini!$M$153-100)/100,0)+IF(G60="Si",(Listini!$M$155-100)/100,0)),0)</f>
        <v>0</v>
      </c>
      <c r="M60" s="301">
        <f>IF(B60&lt;&gt;0,(VLOOKUP(B60,Listini!$A$118:$AD$121,12,FALSE)*C60+IF(D60&lt;&gt;0,VLOOKUP(CONCATENATE(B60,"-BR"),Listini!$A$147:$AD$150,12,FALSE)*D60,0))*(1+IF(E60="Si",(Listini!$N$153-100)/100,0)+IF(F60="Si",(Listini!$N$154-100)/100,0)+IF(G60="Si",(Listini!$N$155-100)/100,0)),0)</f>
        <v>0</v>
      </c>
      <c r="N60" s="301">
        <f>IF(B60&lt;&gt;0,VLOOKUP(B60,Listini!$A$118:$AD$121,15,FALSE)*C60*(1+IF(E60="Si",(Listini!$Q$153-100)/100,0)+IF(G60="Si",(Listini!$Q$155-100)/100,0)),0)</f>
        <v>0</v>
      </c>
      <c r="O60" s="301">
        <f>IF(B60&lt;&gt;0,(VLOOKUP(B60,Listini!$A$118:$AD$121,16,FALSE)*C60+IF(D60&lt;&gt;0,VLOOKUP(CONCATENATE(B60,"-BR"),Listini!$A$147:$AD$150,16,FALSE)*D60,0))*(1+IF(E60="Si",(Listini!$R$153-100)/100,0)+IF(F60="Si",(Listini!$R$154-100)/100,0)+IF(G60="Si",(Listini!$R$155-100)/100,0)),0)</f>
        <v>0</v>
      </c>
      <c r="P60" s="301">
        <f>IF(B60&lt;&gt;0,VLOOKUP(B60,Listini!$A$118:$AD$121,19,FALSE)*C60*(1+IF(E60="Si",(Listini!$U$153-100)/100,0)+IF(G60="Si",(Listini!$U$155-100)/100,0)),0)</f>
        <v>0</v>
      </c>
      <c r="Q60" s="301">
        <f>IF(B60&lt;&gt;0,(VLOOKUP(B60,Listini!$A$118:$AD$121,20,FALSE)*C60+IF(D60&lt;&gt;0,VLOOKUP(CONCATENATE(B60,"-BR"),Listini!$A$147:$AD$150,20,FALSE)*D60,0))*(1+IF(E60="Si",(Listini!$V$153-100)/100,0)+IF(F60="Si",(Listini!$V$154-100)/100,0)+IF(G60="Si",(Listini!$V$155-100)/100,0)),0)</f>
        <v>0</v>
      </c>
      <c r="R60" s="301">
        <f>IF(B60&lt;&gt;0,VLOOKUP(B60,Listini!$A$118:$AD$121,23,FALSE)*C60*(1+IF(E60="Si",(Listini!$Y$153-100)/100,0)+IF(G60="Si",(Listini!$Y$155-100)/100,0)),0)</f>
        <v>0</v>
      </c>
      <c r="S60" s="301">
        <f>IF(B60&lt;&gt;0,(VLOOKUP(B60,Listini!$A$118:$AD$121,24,FALSE)*C60+IF(D60&lt;&gt;0,VLOOKUP(CONCATENATE(B60,"-BR"),Listini!$A$147:$AD$150,24,FALSE)*D60,0))*(1+IF(E60="Si",(Listini!$Z$153-100)/100,0)+IF(F60="Si",(Listini!$Z$154-100)/100,0)+IF(G60="Si",(Listini!$Z$155-100)/100,0)),0)</f>
        <v>0</v>
      </c>
      <c r="T60" s="301">
        <f>IF(B60&lt;&gt;0,VLOOKUP(B60,Listini!$A$118:$AD$121,27,FALSE)*C60*(1+IF(E60="Si",(Listini!$AC$153-100)/100,0)+IF(G60="Si",(Listini!$AC$155-100)/100,0)),0)</f>
        <v>0</v>
      </c>
      <c r="U60" s="301">
        <f>IF(B60&lt;&gt;0,(VLOOKUP(B60,Listini!$A$118:$AD$121,28,FALSE)*C60+IF(D60&lt;&gt;0,VLOOKUP(CONCATENATE(B60,"-BR"),Listini!$A$147:$AD$150,28,FALSE)*D60,0))*(1+IF(E60="Si",(Listini!$AD$153-100)/100,0)+IF(F60="Si",(Listini!$AD$154-100)/100,0)+IF(G60="Si",(Listini!$AD$155-100)/100,0)),0)</f>
        <v>0</v>
      </c>
      <c r="V60" s="301">
        <f>IF(B60&lt;&gt;0,VLOOKUP(B60,'Listino Offerta'!$A$118:$AD$121,3,FALSE)*C60*(1+IF(E60="Si",('Listino Offerta'!$E$153-100)/100,0)+IF(G60="Si",('Listino Offerta'!$E$155-100)/100,0)),0)</f>
        <v>0</v>
      </c>
      <c r="W60" s="301">
        <f>IF(B60&lt;&gt;0,(VLOOKUP(B60,'Listino Offerta'!$A$118:$AD$121,4,FALSE)*C60+IF(D60&lt;&gt;0,VLOOKUP(CONCATENATE(B60,"-BR"),'Listino Offerta'!$A$147:$AD$150,4,FALSE)*D60,0))*(1+IF(E60="Si",('Listino Offerta'!$F$153-100)/100,0)+IF(F60="Si",('Listino Offerta'!$F$154-100)/100,0)+IF(G60="Si",('Listino Offerta'!$F$155-100)/100,0)),0)</f>
        <v>0</v>
      </c>
    </row>
    <row r="61" spans="1:23" s="302" customFormat="1" ht="12" customHeight="1">
      <c r="A61" s="303">
        <v>8</v>
      </c>
      <c r="B61" s="303">
        <f>'Servizi Com. Evoluta - VoIP'!D31</f>
        <v>0</v>
      </c>
      <c r="C61" s="302">
        <f>'Servizi Com. Evoluta - VoIP'!E31</f>
        <v>0</v>
      </c>
      <c r="D61" s="303">
        <f>'Servizi Com. Evoluta - VoIP'!F31</f>
        <v>0</v>
      </c>
      <c r="E61" s="299">
        <f>IF(AND('Servizi Com. Evoluta - VoIP'!G31="Si",'Servizi Com. Evoluta - VoIP'!H31&lt;&gt;"Si"),"Si","")</f>
      </c>
      <c r="F61" s="299">
        <f>IF(AND('Servizi Com. Evoluta - VoIP'!G31&lt;&gt;"Si",'Servizi Com. Evoluta - VoIP'!H31="Si"),"Si","")</f>
      </c>
      <c r="G61" s="299">
        <f>IF(AND('Servizi Com. Evoluta - VoIP'!G31="Si",'Servizi Com. Evoluta - VoIP'!H31="Si"),"Si","")</f>
      </c>
      <c r="H61" s="301">
        <f>IF(B61&lt;&gt;0,VLOOKUP(B61,Listini!$A$118:$AD$121,3,FALSE)*C61*(1+IF(E61="Si",(Listini!$E$153-100)/100,0)+IF(G61="Si",(Listini!$E$155-100)/100,0)),0)</f>
        <v>0</v>
      </c>
      <c r="I61" s="301">
        <f>IF(B61&lt;&gt;0,(VLOOKUP(B61,Listini!$A$118:$AD$121,4,FALSE)*C61+IF(D61&lt;&gt;0,VLOOKUP(CONCATENATE(B61,"-BR"),Listini!$A$147:$AD$150,4,FALSE)*D61,0))*(1+IF(E61="Si",(Listini!$F$153-100)/100,0)+IF(F61="Si",(Listini!$F$154-100)/100,0)+IF(G61="Si",(Listini!$F$155-100)/100,0)),0)</f>
        <v>0</v>
      </c>
      <c r="J61" s="301">
        <f>IF(B61&lt;&gt;0,VLOOKUP(B61,Listini!$A$118:$AD$121,7,FALSE)*C61*(1+IF(E61="Si",(Listini!$I$153-100)/100,0)+IF(G61="Si",(Listini!$I$155-100)/100,0)),0)</f>
        <v>0</v>
      </c>
      <c r="K61" s="301">
        <f>IF(B61&lt;&gt;0,(VLOOKUP(B61,Listini!$A$118:$AD$121,8,FALSE)*C61+IF(D61&lt;&gt;0,VLOOKUP(CONCATENATE(B61,"-BR"),Listini!$A$147:$AD$150,8,FALSE)*D61,0))*(1+IF(E61="Si",(Listini!$J$153-100)/100,0)+IF(F61="Si",(Listini!$J$154-100)/100,0)+IF(G61="Si",(Listini!$J$155-100)/100,0)),0)</f>
        <v>0</v>
      </c>
      <c r="L61" s="301">
        <f>IF(B61&lt;&gt;0,VLOOKUP(B61,Listini!$A$118:$AD$121,11,FALSE)*C61*(1+IF(E61="Si",(Listini!$M$153-100)/100,0)+IF(G61="Si",(Listini!$M$155-100)/100,0)),0)</f>
        <v>0</v>
      </c>
      <c r="M61" s="301">
        <f>IF(B61&lt;&gt;0,(VLOOKUP(B61,Listini!$A$118:$AD$121,12,FALSE)*C61+IF(D61&lt;&gt;0,VLOOKUP(CONCATENATE(B61,"-BR"),Listini!$A$147:$AD$150,12,FALSE)*D61,0))*(1+IF(E61="Si",(Listini!$N$153-100)/100,0)+IF(F61="Si",(Listini!$N$154-100)/100,0)+IF(G61="Si",(Listini!$N$155-100)/100,0)),0)</f>
        <v>0</v>
      </c>
      <c r="N61" s="301">
        <f>IF(B61&lt;&gt;0,VLOOKUP(B61,Listini!$A$118:$AD$121,15,FALSE)*C61*(1+IF(E61="Si",(Listini!$Q$153-100)/100,0)+IF(G61="Si",(Listini!$Q$155-100)/100,0)),0)</f>
        <v>0</v>
      </c>
      <c r="O61" s="301">
        <f>IF(B61&lt;&gt;0,(VLOOKUP(B61,Listini!$A$118:$AD$121,16,FALSE)*C61+IF(D61&lt;&gt;0,VLOOKUP(CONCATENATE(B61,"-BR"),Listini!$A$147:$AD$150,16,FALSE)*D61,0))*(1+IF(E61="Si",(Listini!$R$153-100)/100,0)+IF(F61="Si",(Listini!$R$154-100)/100,0)+IF(G61="Si",(Listini!$R$155-100)/100,0)),0)</f>
        <v>0</v>
      </c>
      <c r="P61" s="301">
        <f>IF(B61&lt;&gt;0,VLOOKUP(B61,Listini!$A$118:$AD$121,19,FALSE)*C61*(1+IF(E61="Si",(Listini!$U$153-100)/100,0)+IF(G61="Si",(Listini!$U$155-100)/100,0)),0)</f>
        <v>0</v>
      </c>
      <c r="Q61" s="301">
        <f>IF(B61&lt;&gt;0,(VLOOKUP(B61,Listini!$A$118:$AD$121,20,FALSE)*C61+IF(D61&lt;&gt;0,VLOOKUP(CONCATENATE(B61,"-BR"),Listini!$A$147:$AD$150,20,FALSE)*D61,0))*(1+IF(E61="Si",(Listini!$V$153-100)/100,0)+IF(F61="Si",(Listini!$V$154-100)/100,0)+IF(G61="Si",(Listini!$V$155-100)/100,0)),0)</f>
        <v>0</v>
      </c>
      <c r="R61" s="301">
        <f>IF(B61&lt;&gt;0,VLOOKUP(B61,Listini!$A$118:$AD$121,23,FALSE)*C61*(1+IF(E61="Si",(Listini!$Y$153-100)/100,0)+IF(G61="Si",(Listini!$Y$155-100)/100,0)),0)</f>
        <v>0</v>
      </c>
      <c r="S61" s="301">
        <f>IF(B61&lt;&gt;0,(VLOOKUP(B61,Listini!$A$118:$AD$121,24,FALSE)*C61+IF(D61&lt;&gt;0,VLOOKUP(CONCATENATE(B61,"-BR"),Listini!$A$147:$AD$150,24,FALSE)*D61,0))*(1+IF(E61="Si",(Listini!$Z$153-100)/100,0)+IF(F61="Si",(Listini!$Z$154-100)/100,0)+IF(G61="Si",(Listini!$Z$155-100)/100,0)),0)</f>
        <v>0</v>
      </c>
      <c r="T61" s="301">
        <f>IF(B61&lt;&gt;0,VLOOKUP(B61,Listini!$A$118:$AD$121,27,FALSE)*C61*(1+IF(E61="Si",(Listini!$AC$153-100)/100,0)+IF(G61="Si",(Listini!$AC$155-100)/100,0)),0)</f>
        <v>0</v>
      </c>
      <c r="U61" s="301">
        <f>IF(B61&lt;&gt;0,(VLOOKUP(B61,Listini!$A$118:$AD$121,28,FALSE)*C61+IF(D61&lt;&gt;0,VLOOKUP(CONCATENATE(B61,"-BR"),Listini!$A$147:$AD$150,28,FALSE)*D61,0))*(1+IF(E61="Si",(Listini!$AD$153-100)/100,0)+IF(F61="Si",(Listini!$AD$154-100)/100,0)+IF(G61="Si",(Listini!$AD$155-100)/100,0)),0)</f>
        <v>0</v>
      </c>
      <c r="V61" s="301">
        <f>IF(B61&lt;&gt;0,VLOOKUP(B61,'Listino Offerta'!$A$118:$AD$121,3,FALSE)*C61*(1+IF(E61="Si",('Listino Offerta'!$E$153-100)/100,0)+IF(G61="Si",('Listino Offerta'!$E$155-100)/100,0)),0)</f>
        <v>0</v>
      </c>
      <c r="W61" s="301">
        <f>IF(B61&lt;&gt;0,(VLOOKUP(B61,'Listino Offerta'!$A$118:$AD$121,4,FALSE)*C61+IF(D61&lt;&gt;0,VLOOKUP(CONCATENATE(B61,"-BR"),'Listino Offerta'!$A$147:$AD$150,4,FALSE)*D61,0))*(1+IF(E61="Si",('Listino Offerta'!$F$153-100)/100,0)+IF(F61="Si",('Listino Offerta'!$F$154-100)/100,0)+IF(G61="Si",('Listino Offerta'!$F$155-100)/100,0)),0)</f>
        <v>0</v>
      </c>
    </row>
    <row r="62" spans="1:23" s="302" customFormat="1" ht="12" customHeight="1">
      <c r="A62" s="303">
        <v>9</v>
      </c>
      <c r="B62" s="303">
        <f>'Servizi Com. Evoluta - VoIP'!D32</f>
        <v>0</v>
      </c>
      <c r="C62" s="302">
        <f>'Servizi Com. Evoluta - VoIP'!E32</f>
        <v>0</v>
      </c>
      <c r="D62" s="303">
        <f>'Servizi Com. Evoluta - VoIP'!F32</f>
        <v>0</v>
      </c>
      <c r="E62" s="299">
        <f>IF(AND('Servizi Com. Evoluta - VoIP'!G32="Si",'Servizi Com. Evoluta - VoIP'!H32&lt;&gt;"Si"),"Si","")</f>
      </c>
      <c r="F62" s="299">
        <f>IF(AND('Servizi Com. Evoluta - VoIP'!G32&lt;&gt;"Si",'Servizi Com. Evoluta - VoIP'!H32="Si"),"Si","")</f>
      </c>
      <c r="G62" s="299">
        <f>IF(AND('Servizi Com. Evoluta - VoIP'!G32="Si",'Servizi Com. Evoluta - VoIP'!H32="Si"),"Si","")</f>
      </c>
      <c r="H62" s="301">
        <f>IF(B62&lt;&gt;0,VLOOKUP(B62,Listini!$A$118:$AD$121,3,FALSE)*C62*(1+IF(E62="Si",(Listini!$E$153-100)/100,0)+IF(G62="Si",(Listini!$E$155-100)/100,0)),0)</f>
        <v>0</v>
      </c>
      <c r="I62" s="301">
        <f>IF(B62&lt;&gt;0,(VLOOKUP(B62,Listini!$A$118:$AD$121,4,FALSE)*C62+IF(D62&lt;&gt;0,VLOOKUP(CONCATENATE(B62,"-BR"),Listini!$A$147:$AD$150,4,FALSE)*D62,0))*(1+IF(E62="Si",(Listini!$F$153-100)/100,0)+IF(F62="Si",(Listini!$F$154-100)/100,0)+IF(G62="Si",(Listini!$F$155-100)/100,0)),0)</f>
        <v>0</v>
      </c>
      <c r="J62" s="301">
        <f>IF(B62&lt;&gt;0,VLOOKUP(B62,Listini!$A$118:$AD$121,7,FALSE)*C62*(1+IF(E62="Si",(Listini!$I$153-100)/100,0)+IF(G62="Si",(Listini!$I$155-100)/100,0)),0)</f>
        <v>0</v>
      </c>
      <c r="K62" s="301">
        <f>IF(B62&lt;&gt;0,(VLOOKUP(B62,Listini!$A$118:$AD$121,8,FALSE)*C62+IF(D62&lt;&gt;0,VLOOKUP(CONCATENATE(B62,"-BR"),Listini!$A$147:$AD$150,8,FALSE)*D62,0))*(1+IF(E62="Si",(Listini!$J$153-100)/100,0)+IF(F62="Si",(Listini!$J$154-100)/100,0)+IF(G62="Si",(Listini!$J$155-100)/100,0)),0)</f>
        <v>0</v>
      </c>
      <c r="L62" s="301">
        <f>IF(B62&lt;&gt;0,VLOOKUP(B62,Listini!$A$118:$AD$121,11,FALSE)*C62*(1+IF(E62="Si",(Listini!$M$153-100)/100,0)+IF(G62="Si",(Listini!$M$155-100)/100,0)),0)</f>
        <v>0</v>
      </c>
      <c r="M62" s="301">
        <f>IF(B62&lt;&gt;0,(VLOOKUP(B62,Listini!$A$118:$AD$121,12,FALSE)*C62+IF(D62&lt;&gt;0,VLOOKUP(CONCATENATE(B62,"-BR"),Listini!$A$147:$AD$150,12,FALSE)*D62,0))*(1+IF(E62="Si",(Listini!$N$153-100)/100,0)+IF(F62="Si",(Listini!$N$154-100)/100,0)+IF(G62="Si",(Listini!$N$155-100)/100,0)),0)</f>
        <v>0</v>
      </c>
      <c r="N62" s="301">
        <f>IF(B62&lt;&gt;0,VLOOKUP(B62,Listini!$A$118:$AD$121,15,FALSE)*C62*(1+IF(E62="Si",(Listini!$Q$153-100)/100,0)+IF(G62="Si",(Listini!$Q$155-100)/100,0)),0)</f>
        <v>0</v>
      </c>
      <c r="O62" s="301">
        <f>IF(B62&lt;&gt;0,(VLOOKUP(B62,Listini!$A$118:$AD$121,16,FALSE)*C62+IF(D62&lt;&gt;0,VLOOKUP(CONCATENATE(B62,"-BR"),Listini!$A$147:$AD$150,16,FALSE)*D62,0))*(1+IF(E62="Si",(Listini!$R$153-100)/100,0)+IF(F62="Si",(Listini!$R$154-100)/100,0)+IF(G62="Si",(Listini!$R$155-100)/100,0)),0)</f>
        <v>0</v>
      </c>
      <c r="P62" s="301">
        <f>IF(B62&lt;&gt;0,VLOOKUP(B62,Listini!$A$118:$AD$121,19,FALSE)*C62*(1+IF(E62="Si",(Listini!$U$153-100)/100,0)+IF(G62="Si",(Listini!$U$155-100)/100,0)),0)</f>
        <v>0</v>
      </c>
      <c r="Q62" s="301">
        <f>IF(B62&lt;&gt;0,(VLOOKUP(B62,Listini!$A$118:$AD$121,20,FALSE)*C62+IF(D62&lt;&gt;0,VLOOKUP(CONCATENATE(B62,"-BR"),Listini!$A$147:$AD$150,20,FALSE)*D62,0))*(1+IF(E62="Si",(Listini!$V$153-100)/100,0)+IF(F62="Si",(Listini!$V$154-100)/100,0)+IF(G62="Si",(Listini!$V$155-100)/100,0)),0)</f>
        <v>0</v>
      </c>
      <c r="R62" s="301">
        <f>IF(B62&lt;&gt;0,VLOOKUP(B62,Listini!$A$118:$AD$121,23,FALSE)*C62*(1+IF(E62="Si",(Listini!$Y$153-100)/100,0)+IF(G62="Si",(Listini!$Y$155-100)/100,0)),0)</f>
        <v>0</v>
      </c>
      <c r="S62" s="301">
        <f>IF(B62&lt;&gt;0,(VLOOKUP(B62,Listini!$A$118:$AD$121,24,FALSE)*C62+IF(D62&lt;&gt;0,VLOOKUP(CONCATENATE(B62,"-BR"),Listini!$A$147:$AD$150,24,FALSE)*D62,0))*(1+IF(E62="Si",(Listini!$Z$153-100)/100,0)+IF(F62="Si",(Listini!$Z$154-100)/100,0)+IF(G62="Si",(Listini!$Z$155-100)/100,0)),0)</f>
        <v>0</v>
      </c>
      <c r="T62" s="301">
        <f>IF(B62&lt;&gt;0,VLOOKUP(B62,Listini!$A$118:$AD$121,27,FALSE)*C62*(1+IF(E62="Si",(Listini!$AC$153-100)/100,0)+IF(G62="Si",(Listini!$AC$155-100)/100,0)),0)</f>
        <v>0</v>
      </c>
      <c r="U62" s="301">
        <f>IF(B62&lt;&gt;0,(VLOOKUP(B62,Listini!$A$118:$AD$121,28,FALSE)*C62+IF(D62&lt;&gt;0,VLOOKUP(CONCATENATE(B62,"-BR"),Listini!$A$147:$AD$150,28,FALSE)*D62,0))*(1+IF(E62="Si",(Listini!$AD$153-100)/100,0)+IF(F62="Si",(Listini!$AD$154-100)/100,0)+IF(G62="Si",(Listini!$AD$155-100)/100,0)),0)</f>
        <v>0</v>
      </c>
      <c r="V62" s="301">
        <f>IF(B62&lt;&gt;0,VLOOKUP(B62,'Listino Offerta'!$A$118:$AD$121,3,FALSE)*C62*(1+IF(E62="Si",('Listino Offerta'!$E$153-100)/100,0)+IF(G62="Si",('Listino Offerta'!$E$155-100)/100,0)),0)</f>
        <v>0</v>
      </c>
      <c r="W62" s="301">
        <f>IF(B62&lt;&gt;0,(VLOOKUP(B62,'Listino Offerta'!$A$118:$AD$121,4,FALSE)*C62+IF(D62&lt;&gt;0,VLOOKUP(CONCATENATE(B62,"-BR"),'Listino Offerta'!$A$147:$AD$150,4,FALSE)*D62,0))*(1+IF(E62="Si",('Listino Offerta'!$F$153-100)/100,0)+IF(F62="Si",('Listino Offerta'!$F$154-100)/100,0)+IF(G62="Si",('Listino Offerta'!$F$155-100)/100,0)),0)</f>
        <v>0</v>
      </c>
    </row>
    <row r="63" spans="1:23" s="302" customFormat="1" ht="12" customHeight="1">
      <c r="A63" s="303">
        <v>10</v>
      </c>
      <c r="B63" s="303">
        <f>'Servizi Com. Evoluta - VoIP'!D33</f>
        <v>0</v>
      </c>
      <c r="C63" s="302">
        <f>'Servizi Com. Evoluta - VoIP'!E33</f>
        <v>0</v>
      </c>
      <c r="D63" s="303">
        <f>'Servizi Com. Evoluta - VoIP'!F33</f>
        <v>0</v>
      </c>
      <c r="E63" s="299">
        <f>IF(AND('Servizi Com. Evoluta - VoIP'!G33="Si",'Servizi Com. Evoluta - VoIP'!H33&lt;&gt;"Si"),"Si","")</f>
      </c>
      <c r="F63" s="299">
        <f>IF(AND('Servizi Com. Evoluta - VoIP'!G33&lt;&gt;"Si",'Servizi Com. Evoluta - VoIP'!H33="Si"),"Si","")</f>
      </c>
      <c r="G63" s="299">
        <f>IF(AND('Servizi Com. Evoluta - VoIP'!G33="Si",'Servizi Com. Evoluta - VoIP'!H33="Si"),"Si","")</f>
      </c>
      <c r="H63" s="301">
        <f>IF(B63&lt;&gt;0,VLOOKUP(B63,Listini!$A$118:$AD$121,3,FALSE)*C63*(1+IF(E63="Si",(Listini!$E$153-100)/100,0)+IF(G63="Si",(Listini!$E$155-100)/100,0)),0)</f>
        <v>0</v>
      </c>
      <c r="I63" s="301">
        <f>IF(B63&lt;&gt;0,(VLOOKUP(B63,Listini!$A$118:$AD$121,4,FALSE)*C63+IF(D63&lt;&gt;0,VLOOKUP(CONCATENATE(B63,"-BR"),Listini!$A$147:$AD$150,4,FALSE)*D63,0))*(1+IF(E63="Si",(Listini!$F$153-100)/100,0)+IF(F63="Si",(Listini!$F$154-100)/100,0)+IF(G63="Si",(Listini!$F$155-100)/100,0)),0)</f>
        <v>0</v>
      </c>
      <c r="J63" s="301">
        <f>IF(B63&lt;&gt;0,VLOOKUP(B63,Listini!$A$118:$AD$121,7,FALSE)*C63*(1+IF(E63="Si",(Listini!$I$153-100)/100,0)+IF(G63="Si",(Listini!$I$155-100)/100,0)),0)</f>
        <v>0</v>
      </c>
      <c r="K63" s="301">
        <f>IF(B63&lt;&gt;0,(VLOOKUP(B63,Listini!$A$118:$AD$121,8,FALSE)*C63+IF(D63&lt;&gt;0,VLOOKUP(CONCATENATE(B63,"-BR"),Listini!$A$147:$AD$150,8,FALSE)*D63,0))*(1+IF(E63="Si",(Listini!$J$153-100)/100,0)+IF(F63="Si",(Listini!$J$154-100)/100,0)+IF(G63="Si",(Listini!$J$155-100)/100,0)),0)</f>
        <v>0</v>
      </c>
      <c r="L63" s="301">
        <f>IF(B63&lt;&gt;0,VLOOKUP(B63,Listini!$A$118:$AD$121,11,FALSE)*C63*(1+IF(E63="Si",(Listini!$M$153-100)/100,0)+IF(G63="Si",(Listini!$M$155-100)/100,0)),0)</f>
        <v>0</v>
      </c>
      <c r="M63" s="301">
        <f>IF(B63&lt;&gt;0,(VLOOKUP(B63,Listini!$A$118:$AD$121,12,FALSE)*C63+IF(D63&lt;&gt;0,VLOOKUP(CONCATENATE(B63,"-BR"),Listini!$A$147:$AD$150,12,FALSE)*D63,0))*(1+IF(E63="Si",(Listini!$N$153-100)/100,0)+IF(F63="Si",(Listini!$N$154-100)/100,0)+IF(G63="Si",(Listini!$N$155-100)/100,0)),0)</f>
        <v>0</v>
      </c>
      <c r="N63" s="301">
        <f>IF(B63&lt;&gt;0,VLOOKUP(B63,Listini!$A$118:$AD$121,15,FALSE)*C63*(1+IF(E63="Si",(Listini!$Q$153-100)/100,0)+IF(G63="Si",(Listini!$Q$155-100)/100,0)),0)</f>
        <v>0</v>
      </c>
      <c r="O63" s="301">
        <f>IF(B63&lt;&gt;0,(VLOOKUP(B63,Listini!$A$118:$AD$121,16,FALSE)*C63+IF(D63&lt;&gt;0,VLOOKUP(CONCATENATE(B63,"-BR"),Listini!$A$147:$AD$150,16,FALSE)*D63,0))*(1+IF(E63="Si",(Listini!$R$153-100)/100,0)+IF(F63="Si",(Listini!$R$154-100)/100,0)+IF(G63="Si",(Listini!$R$155-100)/100,0)),0)</f>
        <v>0</v>
      </c>
      <c r="P63" s="301">
        <f>IF(B63&lt;&gt;0,VLOOKUP(B63,Listini!$A$118:$AD$121,19,FALSE)*C63*(1+IF(E63="Si",(Listini!$U$153-100)/100,0)+IF(G63="Si",(Listini!$U$155-100)/100,0)),0)</f>
        <v>0</v>
      </c>
      <c r="Q63" s="301">
        <f>IF(B63&lt;&gt;0,(VLOOKUP(B63,Listini!$A$118:$AD$121,20,FALSE)*C63+IF(D63&lt;&gt;0,VLOOKUP(CONCATENATE(B63,"-BR"),Listini!$A$147:$AD$150,20,FALSE)*D63,0))*(1+IF(E63="Si",(Listini!$V$153-100)/100,0)+IF(F63="Si",(Listini!$V$154-100)/100,0)+IF(G63="Si",(Listini!$V$155-100)/100,0)),0)</f>
        <v>0</v>
      </c>
      <c r="R63" s="301">
        <f>IF(B63&lt;&gt;0,VLOOKUP(B63,Listini!$A$118:$AD$121,23,FALSE)*C63*(1+IF(E63="Si",(Listini!$Y$153-100)/100,0)+IF(G63="Si",(Listini!$Y$155-100)/100,0)),0)</f>
        <v>0</v>
      </c>
      <c r="S63" s="301">
        <f>IF(B63&lt;&gt;0,(VLOOKUP(B63,Listini!$A$118:$AD$121,24,FALSE)*C63+IF(D63&lt;&gt;0,VLOOKUP(CONCATENATE(B63,"-BR"),Listini!$A$147:$AD$150,24,FALSE)*D63,0))*(1+IF(E63="Si",(Listini!$Z$153-100)/100,0)+IF(F63="Si",(Listini!$Z$154-100)/100,0)+IF(G63="Si",(Listini!$Z$155-100)/100,0)),0)</f>
        <v>0</v>
      </c>
      <c r="T63" s="301">
        <f>IF(B63&lt;&gt;0,VLOOKUP(B63,Listini!$A$118:$AD$121,27,FALSE)*C63*(1+IF(E63="Si",(Listini!$AC$153-100)/100,0)+IF(G63="Si",(Listini!$AC$155-100)/100,0)),0)</f>
        <v>0</v>
      </c>
      <c r="U63" s="301">
        <f>IF(B63&lt;&gt;0,(VLOOKUP(B63,Listini!$A$118:$AD$121,28,FALSE)*C63+IF(D63&lt;&gt;0,VLOOKUP(CONCATENATE(B63,"-BR"),Listini!$A$147:$AD$150,28,FALSE)*D63,0))*(1+IF(E63="Si",(Listini!$AD$153-100)/100,0)+IF(F63="Si",(Listini!$AD$154-100)/100,0)+IF(G63="Si",(Listini!$AD$155-100)/100,0)),0)</f>
        <v>0</v>
      </c>
      <c r="V63" s="301">
        <f>IF(B63&lt;&gt;0,VLOOKUP(B63,'Listino Offerta'!$A$118:$AD$121,3,FALSE)*C63*(1+IF(E63="Si",('Listino Offerta'!$E$153-100)/100,0)+IF(G63="Si",('Listino Offerta'!$E$155-100)/100,0)),0)</f>
        <v>0</v>
      </c>
      <c r="W63" s="301">
        <f>IF(B63&lt;&gt;0,(VLOOKUP(B63,'Listino Offerta'!$A$118:$AD$121,4,FALSE)*C63+IF(D63&lt;&gt;0,VLOOKUP(CONCATENATE(B63,"-BR"),'Listino Offerta'!$A$147:$AD$150,4,FALSE)*D63,0))*(1+IF(E63="Si",('Listino Offerta'!$F$153-100)/100,0)+IF(F63="Si",('Listino Offerta'!$F$154-100)/100,0)+IF(G63="Si",('Listino Offerta'!$F$155-100)/100,0)),0)</f>
        <v>0</v>
      </c>
    </row>
    <row r="64" spans="1:23" s="302" customFormat="1" ht="12" customHeight="1">
      <c r="A64" s="303">
        <v>11</v>
      </c>
      <c r="B64" s="303">
        <f>'Servizi Com. Evoluta - VoIP'!D34</f>
        <v>0</v>
      </c>
      <c r="C64" s="302">
        <f>'Servizi Com. Evoluta - VoIP'!E34</f>
        <v>0</v>
      </c>
      <c r="D64" s="303">
        <f>'Servizi Com. Evoluta - VoIP'!F34</f>
        <v>0</v>
      </c>
      <c r="E64" s="299">
        <f>IF(AND('Servizi Com. Evoluta - VoIP'!G34="Si",'Servizi Com. Evoluta - VoIP'!H34&lt;&gt;"Si"),"Si","")</f>
      </c>
      <c r="F64" s="299">
        <f>IF(AND('Servizi Com. Evoluta - VoIP'!G34&lt;&gt;"Si",'Servizi Com. Evoluta - VoIP'!H34="Si"),"Si","")</f>
      </c>
      <c r="G64" s="299">
        <f>IF(AND('Servizi Com. Evoluta - VoIP'!G34="Si",'Servizi Com. Evoluta - VoIP'!H34="Si"),"Si","")</f>
      </c>
      <c r="H64" s="301">
        <f>IF(B64&lt;&gt;0,VLOOKUP(B64,Listini!$A$118:$AD$121,3,FALSE)*C64*(1+IF(E64="Si",(Listini!$E$153-100)/100,0)+IF(G64="Si",(Listini!$E$155-100)/100,0)),0)</f>
        <v>0</v>
      </c>
      <c r="I64" s="301">
        <f>IF(B64&lt;&gt;0,(VLOOKUP(B64,Listini!$A$118:$AD$121,4,FALSE)*C64+IF(D64&lt;&gt;0,VLOOKUP(CONCATENATE(B64,"-BR"),Listini!$A$147:$AD$150,4,FALSE)*D64,0))*(1+IF(E64="Si",(Listini!$F$153-100)/100,0)+IF(F64="Si",(Listini!$F$154-100)/100,0)+IF(G64="Si",(Listini!$F$155-100)/100,0)),0)</f>
        <v>0</v>
      </c>
      <c r="J64" s="301">
        <f>IF(B64&lt;&gt;0,VLOOKUP(B64,Listini!$A$118:$AD$121,7,FALSE)*C64*(1+IF(E64="Si",(Listini!$I$153-100)/100,0)+IF(G64="Si",(Listini!$I$155-100)/100,0)),0)</f>
        <v>0</v>
      </c>
      <c r="K64" s="301">
        <f>IF(B64&lt;&gt;0,(VLOOKUP(B64,Listini!$A$118:$AD$121,8,FALSE)*C64+IF(D64&lt;&gt;0,VLOOKUP(CONCATENATE(B64,"-BR"),Listini!$A$147:$AD$150,8,FALSE)*D64,0))*(1+IF(E64="Si",(Listini!$J$153-100)/100,0)+IF(F64="Si",(Listini!$J$154-100)/100,0)+IF(G64="Si",(Listini!$J$155-100)/100,0)),0)</f>
        <v>0</v>
      </c>
      <c r="L64" s="301">
        <f>IF(B64&lt;&gt;0,VLOOKUP(B64,Listini!$A$118:$AD$121,11,FALSE)*C64*(1+IF(E64="Si",(Listini!$M$153-100)/100,0)+IF(G64="Si",(Listini!$M$155-100)/100,0)),0)</f>
        <v>0</v>
      </c>
      <c r="M64" s="301">
        <f>IF(B64&lt;&gt;0,(VLOOKUP(B64,Listini!$A$118:$AD$121,12,FALSE)*C64+IF(D64&lt;&gt;0,VLOOKUP(CONCATENATE(B64,"-BR"),Listini!$A$147:$AD$150,12,FALSE)*D64,0))*(1+IF(E64="Si",(Listini!$N$153-100)/100,0)+IF(F64="Si",(Listini!$N$154-100)/100,0)+IF(G64="Si",(Listini!$N$155-100)/100,0)),0)</f>
        <v>0</v>
      </c>
      <c r="N64" s="301">
        <f>IF(B64&lt;&gt;0,VLOOKUP(B64,Listini!$A$118:$AD$121,15,FALSE)*C64*(1+IF(E64="Si",(Listini!$Q$153-100)/100,0)+IF(G64="Si",(Listini!$Q$155-100)/100,0)),0)</f>
        <v>0</v>
      </c>
      <c r="O64" s="301">
        <f>IF(B64&lt;&gt;0,(VLOOKUP(B64,Listini!$A$118:$AD$121,16,FALSE)*C64+IF(D64&lt;&gt;0,VLOOKUP(CONCATENATE(B64,"-BR"),Listini!$A$147:$AD$150,16,FALSE)*D64,0))*(1+IF(E64="Si",(Listini!$R$153-100)/100,0)+IF(F64="Si",(Listini!$R$154-100)/100,0)+IF(G64="Si",(Listini!$R$155-100)/100,0)),0)</f>
        <v>0</v>
      </c>
      <c r="P64" s="301">
        <f>IF(B64&lt;&gt;0,VLOOKUP(B64,Listini!$A$118:$AD$121,19,FALSE)*C64*(1+IF(E64="Si",(Listini!$U$153-100)/100,0)+IF(G64="Si",(Listini!$U$155-100)/100,0)),0)</f>
        <v>0</v>
      </c>
      <c r="Q64" s="301">
        <f>IF(B64&lt;&gt;0,(VLOOKUP(B64,Listini!$A$118:$AD$121,20,FALSE)*C64+IF(D64&lt;&gt;0,VLOOKUP(CONCATENATE(B64,"-BR"),Listini!$A$147:$AD$150,20,FALSE)*D64,0))*(1+IF(E64="Si",(Listini!$V$153-100)/100,0)+IF(F64="Si",(Listini!$V$154-100)/100,0)+IF(G64="Si",(Listini!$V$155-100)/100,0)),0)</f>
        <v>0</v>
      </c>
      <c r="R64" s="301">
        <f>IF(B64&lt;&gt;0,VLOOKUP(B64,Listini!$A$118:$AD$121,23,FALSE)*C64*(1+IF(E64="Si",(Listini!$Y$153-100)/100,0)+IF(G64="Si",(Listini!$Y$155-100)/100,0)),0)</f>
        <v>0</v>
      </c>
      <c r="S64" s="301">
        <f>IF(B64&lt;&gt;0,(VLOOKUP(B64,Listini!$A$118:$AD$121,24,FALSE)*C64+IF(D64&lt;&gt;0,VLOOKUP(CONCATENATE(B64,"-BR"),Listini!$A$147:$AD$150,24,FALSE)*D64,0))*(1+IF(E64="Si",(Listini!$Z$153-100)/100,0)+IF(F64="Si",(Listini!$Z$154-100)/100,0)+IF(G64="Si",(Listini!$Z$155-100)/100,0)),0)</f>
        <v>0</v>
      </c>
      <c r="T64" s="301">
        <f>IF(B64&lt;&gt;0,VLOOKUP(B64,Listini!$A$118:$AD$121,27,FALSE)*C64*(1+IF(E64="Si",(Listini!$AC$153-100)/100,0)+IF(G64="Si",(Listini!$AC$155-100)/100,0)),0)</f>
        <v>0</v>
      </c>
      <c r="U64" s="301">
        <f>IF(B64&lt;&gt;0,(VLOOKUP(B64,Listini!$A$118:$AD$121,28,FALSE)*C64+IF(D64&lt;&gt;0,VLOOKUP(CONCATENATE(B64,"-BR"),Listini!$A$147:$AD$150,28,FALSE)*D64,0))*(1+IF(E64="Si",(Listini!$AD$153-100)/100,0)+IF(F64="Si",(Listini!$AD$154-100)/100,0)+IF(G64="Si",(Listini!$AD$155-100)/100,0)),0)</f>
        <v>0</v>
      </c>
      <c r="V64" s="301">
        <f>IF(B64&lt;&gt;0,VLOOKUP(B64,'Listino Offerta'!$A$118:$AD$121,3,FALSE)*C64*(1+IF(E64="Si",('Listino Offerta'!$E$153-100)/100,0)+IF(G64="Si",('Listino Offerta'!$E$155-100)/100,0)),0)</f>
        <v>0</v>
      </c>
      <c r="W64" s="301">
        <f>IF(B64&lt;&gt;0,(VLOOKUP(B64,'Listino Offerta'!$A$118:$AD$121,4,FALSE)*C64+IF(D64&lt;&gt;0,VLOOKUP(CONCATENATE(B64,"-BR"),'Listino Offerta'!$A$147:$AD$150,4,FALSE)*D64,0))*(1+IF(E64="Si",('Listino Offerta'!$F$153-100)/100,0)+IF(F64="Si",('Listino Offerta'!$F$154-100)/100,0)+IF(G64="Si",('Listino Offerta'!$F$155-100)/100,0)),0)</f>
        <v>0</v>
      </c>
    </row>
    <row r="65" spans="1:23" s="302" customFormat="1" ht="12" customHeight="1">
      <c r="A65" s="303">
        <v>12</v>
      </c>
      <c r="B65" s="303">
        <f>'Servizi Com. Evoluta - VoIP'!D35</f>
        <v>0</v>
      </c>
      <c r="C65" s="302">
        <f>'Servizi Com. Evoluta - VoIP'!E35</f>
        <v>0</v>
      </c>
      <c r="D65" s="303">
        <f>'Servizi Com. Evoluta - VoIP'!F35</f>
        <v>0</v>
      </c>
      <c r="E65" s="299">
        <f>IF(AND('Servizi Com. Evoluta - VoIP'!G35="Si",'Servizi Com. Evoluta - VoIP'!H35&lt;&gt;"Si"),"Si","")</f>
      </c>
      <c r="F65" s="299">
        <f>IF(AND('Servizi Com. Evoluta - VoIP'!G35&lt;&gt;"Si",'Servizi Com. Evoluta - VoIP'!H35="Si"),"Si","")</f>
      </c>
      <c r="G65" s="299">
        <f>IF(AND('Servizi Com. Evoluta - VoIP'!G35="Si",'Servizi Com. Evoluta - VoIP'!H35="Si"),"Si","")</f>
      </c>
      <c r="H65" s="301">
        <f>IF(B65&lt;&gt;0,VLOOKUP(B65,Listini!$A$118:$AD$121,3,FALSE)*C65*(1+IF(E65="Si",(Listini!$E$153-100)/100,0)+IF(G65="Si",(Listini!$E$155-100)/100,0)),0)</f>
        <v>0</v>
      </c>
      <c r="I65" s="301">
        <f>IF(B65&lt;&gt;0,(VLOOKUP(B65,Listini!$A$118:$AD$121,4,FALSE)*C65+IF(D65&lt;&gt;0,VLOOKUP(CONCATENATE(B65,"-BR"),Listini!$A$147:$AD$150,4,FALSE)*D65,0))*(1+IF(E65="Si",(Listini!$F$153-100)/100,0)+IF(F65="Si",(Listini!$F$154-100)/100,0)+IF(G65="Si",(Listini!$F$155-100)/100,0)),0)</f>
        <v>0</v>
      </c>
      <c r="J65" s="301">
        <f>IF(B65&lt;&gt;0,VLOOKUP(B65,Listini!$A$118:$AD$121,7,FALSE)*C65*(1+IF(E65="Si",(Listini!$I$153-100)/100,0)+IF(G65="Si",(Listini!$I$155-100)/100,0)),0)</f>
        <v>0</v>
      </c>
      <c r="K65" s="301">
        <f>IF(B65&lt;&gt;0,(VLOOKUP(B65,Listini!$A$118:$AD$121,8,FALSE)*C65+IF(D65&lt;&gt;0,VLOOKUP(CONCATENATE(B65,"-BR"),Listini!$A$147:$AD$150,8,FALSE)*D65,0))*(1+IF(E65="Si",(Listini!$J$153-100)/100,0)+IF(F65="Si",(Listini!$J$154-100)/100,0)+IF(G65="Si",(Listini!$J$155-100)/100,0)),0)</f>
        <v>0</v>
      </c>
      <c r="L65" s="301">
        <f>IF(B65&lt;&gt;0,VLOOKUP(B65,Listini!$A$118:$AD$121,11,FALSE)*C65*(1+IF(E65="Si",(Listini!$M$153-100)/100,0)+IF(G65="Si",(Listini!$M$155-100)/100,0)),0)</f>
        <v>0</v>
      </c>
      <c r="M65" s="301">
        <f>IF(B65&lt;&gt;0,(VLOOKUP(B65,Listini!$A$118:$AD$121,12,FALSE)*C65+IF(D65&lt;&gt;0,VLOOKUP(CONCATENATE(B65,"-BR"),Listini!$A$147:$AD$150,12,FALSE)*D65,0))*(1+IF(E65="Si",(Listini!$N$153-100)/100,0)+IF(F65="Si",(Listini!$N$154-100)/100,0)+IF(G65="Si",(Listini!$N$155-100)/100,0)),0)</f>
        <v>0</v>
      </c>
      <c r="N65" s="301">
        <f>IF(B65&lt;&gt;0,VLOOKUP(B65,Listini!$A$118:$AD$121,15,FALSE)*C65*(1+IF(E65="Si",(Listini!$Q$153-100)/100,0)+IF(G65="Si",(Listini!$Q$155-100)/100,0)),0)</f>
        <v>0</v>
      </c>
      <c r="O65" s="301">
        <f>IF(B65&lt;&gt;0,(VLOOKUP(B65,Listini!$A$118:$AD$121,16,FALSE)*C65+IF(D65&lt;&gt;0,VLOOKUP(CONCATENATE(B65,"-BR"),Listini!$A$147:$AD$150,16,FALSE)*D65,0))*(1+IF(E65="Si",(Listini!$R$153-100)/100,0)+IF(F65="Si",(Listini!$R$154-100)/100,0)+IF(G65="Si",(Listini!$R$155-100)/100,0)),0)</f>
        <v>0</v>
      </c>
      <c r="P65" s="301">
        <f>IF(B65&lt;&gt;0,VLOOKUP(B65,Listini!$A$118:$AD$121,19,FALSE)*C65*(1+IF(E65="Si",(Listini!$U$153-100)/100,0)+IF(G65="Si",(Listini!$U$155-100)/100,0)),0)</f>
        <v>0</v>
      </c>
      <c r="Q65" s="301">
        <f>IF(B65&lt;&gt;0,(VLOOKUP(B65,Listini!$A$118:$AD$121,20,FALSE)*C65+IF(D65&lt;&gt;0,VLOOKUP(CONCATENATE(B65,"-BR"),Listini!$A$147:$AD$150,20,FALSE)*D65,0))*(1+IF(E65="Si",(Listini!$V$153-100)/100,0)+IF(F65="Si",(Listini!$V$154-100)/100,0)+IF(G65="Si",(Listini!$V$155-100)/100,0)),0)</f>
        <v>0</v>
      </c>
      <c r="R65" s="301">
        <f>IF(B65&lt;&gt;0,VLOOKUP(B65,Listini!$A$118:$AD$121,23,FALSE)*C65*(1+IF(E65="Si",(Listini!$Y$153-100)/100,0)+IF(G65="Si",(Listini!$Y$155-100)/100,0)),0)</f>
        <v>0</v>
      </c>
      <c r="S65" s="301">
        <f>IF(B65&lt;&gt;0,(VLOOKUP(B65,Listini!$A$118:$AD$121,24,FALSE)*C65+IF(D65&lt;&gt;0,VLOOKUP(CONCATENATE(B65,"-BR"),Listini!$A$147:$AD$150,24,FALSE)*D65,0))*(1+IF(E65="Si",(Listini!$Z$153-100)/100,0)+IF(F65="Si",(Listini!$Z$154-100)/100,0)+IF(G65="Si",(Listini!$Z$155-100)/100,0)),0)</f>
        <v>0</v>
      </c>
      <c r="T65" s="301">
        <f>IF(B65&lt;&gt;0,VLOOKUP(B65,Listini!$A$118:$AD$121,27,FALSE)*C65*(1+IF(E65="Si",(Listini!$AC$153-100)/100,0)+IF(G65="Si",(Listini!$AC$155-100)/100,0)),0)</f>
        <v>0</v>
      </c>
      <c r="U65" s="301">
        <f>IF(B65&lt;&gt;0,(VLOOKUP(B65,Listini!$A$118:$AD$121,28,FALSE)*C65+IF(D65&lt;&gt;0,VLOOKUP(CONCATENATE(B65,"-BR"),Listini!$A$147:$AD$150,28,FALSE)*D65,0))*(1+IF(E65="Si",(Listini!$AD$153-100)/100,0)+IF(F65="Si",(Listini!$AD$154-100)/100,0)+IF(G65="Si",(Listini!$AD$155-100)/100,0)),0)</f>
        <v>0</v>
      </c>
      <c r="V65" s="301">
        <f>IF(B65&lt;&gt;0,VLOOKUP(B65,'Listino Offerta'!$A$118:$AD$121,3,FALSE)*C65*(1+IF(E65="Si",('Listino Offerta'!$E$153-100)/100,0)+IF(G65="Si",('Listino Offerta'!$E$155-100)/100,0)),0)</f>
        <v>0</v>
      </c>
      <c r="W65" s="301">
        <f>IF(B65&lt;&gt;0,(VLOOKUP(B65,'Listino Offerta'!$A$118:$AD$121,4,FALSE)*C65+IF(D65&lt;&gt;0,VLOOKUP(CONCATENATE(B65,"-BR"),'Listino Offerta'!$A$147:$AD$150,4,FALSE)*D65,0))*(1+IF(E65="Si",('Listino Offerta'!$F$153-100)/100,0)+IF(F65="Si",('Listino Offerta'!$F$154-100)/100,0)+IF(G65="Si",('Listino Offerta'!$F$155-100)/100,0)),0)</f>
        <v>0</v>
      </c>
    </row>
    <row r="66" spans="1:23" s="302" customFormat="1" ht="12" customHeight="1">
      <c r="A66" s="303">
        <v>13</v>
      </c>
      <c r="B66" s="303">
        <f>'Servizi Com. Evoluta - VoIP'!D36</f>
        <v>0</v>
      </c>
      <c r="C66" s="302">
        <f>'Servizi Com. Evoluta - VoIP'!E36</f>
        <v>0</v>
      </c>
      <c r="D66" s="303">
        <f>'Servizi Com. Evoluta - VoIP'!F36</f>
        <v>0</v>
      </c>
      <c r="E66" s="299">
        <f>IF(AND('Servizi Com. Evoluta - VoIP'!G36="Si",'Servizi Com. Evoluta - VoIP'!H36&lt;&gt;"Si"),"Si","")</f>
      </c>
      <c r="F66" s="299">
        <f>IF(AND('Servizi Com. Evoluta - VoIP'!G36&lt;&gt;"Si",'Servizi Com. Evoluta - VoIP'!H36="Si"),"Si","")</f>
      </c>
      <c r="G66" s="299">
        <f>IF(AND('Servizi Com. Evoluta - VoIP'!G36="Si",'Servizi Com. Evoluta - VoIP'!H36="Si"),"Si","")</f>
      </c>
      <c r="H66" s="301">
        <f>IF(B66&lt;&gt;0,VLOOKUP(B66,Listini!$A$118:$AD$121,3,FALSE)*C66*(1+IF(E66="Si",(Listini!$E$153-100)/100,0)+IF(G66="Si",(Listini!$E$155-100)/100,0)),0)</f>
        <v>0</v>
      </c>
      <c r="I66" s="301">
        <f>IF(B66&lt;&gt;0,(VLOOKUP(B66,Listini!$A$118:$AD$121,4,FALSE)*C66+IF(D66&lt;&gt;0,VLOOKUP(CONCATENATE(B66,"-BR"),Listini!$A$147:$AD$150,4,FALSE)*D66,0))*(1+IF(E66="Si",(Listini!$F$153-100)/100,0)+IF(F66="Si",(Listini!$F$154-100)/100,0)+IF(G66="Si",(Listini!$F$155-100)/100,0)),0)</f>
        <v>0</v>
      </c>
      <c r="J66" s="301">
        <f>IF(B66&lt;&gt;0,VLOOKUP(B66,Listini!$A$118:$AD$121,7,FALSE)*C66*(1+IF(E66="Si",(Listini!$I$153-100)/100,0)+IF(G66="Si",(Listini!$I$155-100)/100,0)),0)</f>
        <v>0</v>
      </c>
      <c r="K66" s="301">
        <f>IF(B66&lt;&gt;0,(VLOOKUP(B66,Listini!$A$118:$AD$121,8,FALSE)*C66+IF(D66&lt;&gt;0,VLOOKUP(CONCATENATE(B66,"-BR"),Listini!$A$147:$AD$150,8,FALSE)*D66,0))*(1+IF(E66="Si",(Listini!$J$153-100)/100,0)+IF(F66="Si",(Listini!$J$154-100)/100,0)+IF(G66="Si",(Listini!$J$155-100)/100,0)),0)</f>
        <v>0</v>
      </c>
      <c r="L66" s="301">
        <f>IF(B66&lt;&gt;0,VLOOKUP(B66,Listini!$A$118:$AD$121,11,FALSE)*C66*(1+IF(E66="Si",(Listini!$M$153-100)/100,0)+IF(G66="Si",(Listini!$M$155-100)/100,0)),0)</f>
        <v>0</v>
      </c>
      <c r="M66" s="301">
        <f>IF(B66&lt;&gt;0,(VLOOKUP(B66,Listini!$A$118:$AD$121,12,FALSE)*C66+IF(D66&lt;&gt;0,VLOOKUP(CONCATENATE(B66,"-BR"),Listini!$A$147:$AD$150,12,FALSE)*D66,0))*(1+IF(E66="Si",(Listini!$N$153-100)/100,0)+IF(F66="Si",(Listini!$N$154-100)/100,0)+IF(G66="Si",(Listini!$N$155-100)/100,0)),0)</f>
        <v>0</v>
      </c>
      <c r="N66" s="301">
        <f>IF(B66&lt;&gt;0,VLOOKUP(B66,Listini!$A$118:$AD$121,15,FALSE)*C66*(1+IF(E66="Si",(Listini!$Q$153-100)/100,0)+IF(G66="Si",(Listini!$Q$155-100)/100,0)),0)</f>
        <v>0</v>
      </c>
      <c r="O66" s="301">
        <f>IF(B66&lt;&gt;0,(VLOOKUP(B66,Listini!$A$118:$AD$121,16,FALSE)*C66+IF(D66&lt;&gt;0,VLOOKUP(CONCATENATE(B66,"-BR"),Listini!$A$147:$AD$150,16,FALSE)*D66,0))*(1+IF(E66="Si",(Listini!$R$153-100)/100,0)+IF(F66="Si",(Listini!$R$154-100)/100,0)+IF(G66="Si",(Listini!$R$155-100)/100,0)),0)</f>
        <v>0</v>
      </c>
      <c r="P66" s="301">
        <f>IF(B66&lt;&gt;0,VLOOKUP(B66,Listini!$A$118:$AD$121,19,FALSE)*C66*(1+IF(E66="Si",(Listini!$U$153-100)/100,0)+IF(G66="Si",(Listini!$U$155-100)/100,0)),0)</f>
        <v>0</v>
      </c>
      <c r="Q66" s="301">
        <f>IF(B66&lt;&gt;0,(VLOOKUP(B66,Listini!$A$118:$AD$121,20,FALSE)*C66+IF(D66&lt;&gt;0,VLOOKUP(CONCATENATE(B66,"-BR"),Listini!$A$147:$AD$150,20,FALSE)*D66,0))*(1+IF(E66="Si",(Listini!$V$153-100)/100,0)+IF(F66="Si",(Listini!$V$154-100)/100,0)+IF(G66="Si",(Listini!$V$155-100)/100,0)),0)</f>
        <v>0</v>
      </c>
      <c r="R66" s="301">
        <f>IF(B66&lt;&gt;0,VLOOKUP(B66,Listini!$A$118:$AD$121,23,FALSE)*C66*(1+IF(E66="Si",(Listini!$Y$153-100)/100,0)+IF(G66="Si",(Listini!$Y$155-100)/100,0)),0)</f>
        <v>0</v>
      </c>
      <c r="S66" s="301">
        <f>IF(B66&lt;&gt;0,(VLOOKUP(B66,Listini!$A$118:$AD$121,24,FALSE)*C66+IF(D66&lt;&gt;0,VLOOKUP(CONCATENATE(B66,"-BR"),Listini!$A$147:$AD$150,24,FALSE)*D66,0))*(1+IF(E66="Si",(Listini!$Z$153-100)/100,0)+IF(F66="Si",(Listini!$Z$154-100)/100,0)+IF(G66="Si",(Listini!$Z$155-100)/100,0)),0)</f>
        <v>0</v>
      </c>
      <c r="T66" s="301">
        <f>IF(B66&lt;&gt;0,VLOOKUP(B66,Listini!$A$118:$AD$121,27,FALSE)*C66*(1+IF(E66="Si",(Listini!$AC$153-100)/100,0)+IF(G66="Si",(Listini!$AC$155-100)/100,0)),0)</f>
        <v>0</v>
      </c>
      <c r="U66" s="301">
        <f>IF(B66&lt;&gt;0,(VLOOKUP(B66,Listini!$A$118:$AD$121,28,FALSE)*C66+IF(D66&lt;&gt;0,VLOOKUP(CONCATENATE(B66,"-BR"),Listini!$A$147:$AD$150,28,FALSE)*D66,0))*(1+IF(E66="Si",(Listini!$AD$153-100)/100,0)+IF(F66="Si",(Listini!$AD$154-100)/100,0)+IF(G66="Si",(Listini!$AD$155-100)/100,0)),0)</f>
        <v>0</v>
      </c>
      <c r="V66" s="301">
        <f>IF(B66&lt;&gt;0,VLOOKUP(B66,'Listino Offerta'!$A$118:$AD$121,3,FALSE)*C66*(1+IF(E66="Si",('Listino Offerta'!$E$153-100)/100,0)+IF(G66="Si",('Listino Offerta'!$E$155-100)/100,0)),0)</f>
        <v>0</v>
      </c>
      <c r="W66" s="301">
        <f>IF(B66&lt;&gt;0,(VLOOKUP(B66,'Listino Offerta'!$A$118:$AD$121,4,FALSE)*C66+IF(D66&lt;&gt;0,VLOOKUP(CONCATENATE(B66,"-BR"),'Listino Offerta'!$A$147:$AD$150,4,FALSE)*D66,0))*(1+IF(E66="Si",('Listino Offerta'!$F$153-100)/100,0)+IF(F66="Si",('Listino Offerta'!$F$154-100)/100,0)+IF(G66="Si",('Listino Offerta'!$F$155-100)/100,0)),0)</f>
        <v>0</v>
      </c>
    </row>
    <row r="67" spans="1:23" s="302" customFormat="1" ht="12" customHeight="1">
      <c r="A67" s="303">
        <v>14</v>
      </c>
      <c r="B67" s="303">
        <f>'Servizi Com. Evoluta - VoIP'!D37</f>
        <v>0</v>
      </c>
      <c r="C67" s="302">
        <f>'Servizi Com. Evoluta - VoIP'!E37</f>
        <v>0</v>
      </c>
      <c r="D67" s="303">
        <f>'Servizi Com. Evoluta - VoIP'!F37</f>
        <v>0</v>
      </c>
      <c r="E67" s="299">
        <f>IF(AND('Servizi Com. Evoluta - VoIP'!G37="Si",'Servizi Com. Evoluta - VoIP'!H37&lt;&gt;"Si"),"Si","")</f>
      </c>
      <c r="F67" s="299">
        <f>IF(AND('Servizi Com. Evoluta - VoIP'!G37&lt;&gt;"Si",'Servizi Com. Evoluta - VoIP'!H37="Si"),"Si","")</f>
      </c>
      <c r="G67" s="299">
        <f>IF(AND('Servizi Com. Evoluta - VoIP'!G37="Si",'Servizi Com. Evoluta - VoIP'!H37="Si"),"Si","")</f>
      </c>
      <c r="H67" s="301">
        <f>IF(B67&lt;&gt;0,VLOOKUP(B67,Listini!$A$118:$AD$121,3,FALSE)*C67*(1+IF(E67="Si",(Listini!$E$153-100)/100,0)+IF(G67="Si",(Listini!$E$155-100)/100,0)),0)</f>
        <v>0</v>
      </c>
      <c r="I67" s="301">
        <f>IF(B67&lt;&gt;0,(VLOOKUP(B67,Listini!$A$118:$AD$121,4,FALSE)*C67+IF(D67&lt;&gt;0,VLOOKUP(CONCATENATE(B67,"-BR"),Listini!$A$147:$AD$150,4,FALSE)*D67,0))*(1+IF(E67="Si",(Listini!$F$153-100)/100,0)+IF(F67="Si",(Listini!$F$154-100)/100,0)+IF(G67="Si",(Listini!$F$155-100)/100,0)),0)</f>
        <v>0</v>
      </c>
      <c r="J67" s="301">
        <f>IF(B67&lt;&gt;0,VLOOKUP(B67,Listini!$A$118:$AD$121,7,FALSE)*C67*(1+IF(E67="Si",(Listini!$I$153-100)/100,0)+IF(G67="Si",(Listini!$I$155-100)/100,0)),0)</f>
        <v>0</v>
      </c>
      <c r="K67" s="301">
        <f>IF(B67&lt;&gt;0,(VLOOKUP(B67,Listini!$A$118:$AD$121,8,FALSE)*C67+IF(D67&lt;&gt;0,VLOOKUP(CONCATENATE(B67,"-BR"),Listini!$A$147:$AD$150,8,FALSE)*D67,0))*(1+IF(E67="Si",(Listini!$J$153-100)/100,0)+IF(F67="Si",(Listini!$J$154-100)/100,0)+IF(G67="Si",(Listini!$J$155-100)/100,0)),0)</f>
        <v>0</v>
      </c>
      <c r="L67" s="301">
        <f>IF(B67&lt;&gt;0,VLOOKUP(B67,Listini!$A$118:$AD$121,11,FALSE)*C67*(1+IF(E67="Si",(Listini!$M$153-100)/100,0)+IF(G67="Si",(Listini!$M$155-100)/100,0)),0)</f>
        <v>0</v>
      </c>
      <c r="M67" s="301">
        <f>IF(B67&lt;&gt;0,(VLOOKUP(B67,Listini!$A$118:$AD$121,12,FALSE)*C67+IF(D67&lt;&gt;0,VLOOKUP(CONCATENATE(B67,"-BR"),Listini!$A$147:$AD$150,12,FALSE)*D67,0))*(1+IF(E67="Si",(Listini!$N$153-100)/100,0)+IF(F67="Si",(Listini!$N$154-100)/100,0)+IF(G67="Si",(Listini!$N$155-100)/100,0)),0)</f>
        <v>0</v>
      </c>
      <c r="N67" s="301">
        <f>IF(B67&lt;&gt;0,VLOOKUP(B67,Listini!$A$118:$AD$121,15,FALSE)*C67*(1+IF(E67="Si",(Listini!$Q$153-100)/100,0)+IF(G67="Si",(Listini!$Q$155-100)/100,0)),0)</f>
        <v>0</v>
      </c>
      <c r="O67" s="301">
        <f>IF(B67&lt;&gt;0,(VLOOKUP(B67,Listini!$A$118:$AD$121,16,FALSE)*C67+IF(D67&lt;&gt;0,VLOOKUP(CONCATENATE(B67,"-BR"),Listini!$A$147:$AD$150,16,FALSE)*D67,0))*(1+IF(E67="Si",(Listini!$R$153-100)/100,0)+IF(F67="Si",(Listini!$R$154-100)/100,0)+IF(G67="Si",(Listini!$R$155-100)/100,0)),0)</f>
        <v>0</v>
      </c>
      <c r="P67" s="301">
        <f>IF(B67&lt;&gt;0,VLOOKUP(B67,Listini!$A$118:$AD$121,19,FALSE)*C67*(1+IF(E67="Si",(Listini!$U$153-100)/100,0)+IF(G67="Si",(Listini!$U$155-100)/100,0)),0)</f>
        <v>0</v>
      </c>
      <c r="Q67" s="301">
        <f>IF(B67&lt;&gt;0,(VLOOKUP(B67,Listini!$A$118:$AD$121,20,FALSE)*C67+IF(D67&lt;&gt;0,VLOOKUP(CONCATENATE(B67,"-BR"),Listini!$A$147:$AD$150,20,FALSE)*D67,0))*(1+IF(E67="Si",(Listini!$V$153-100)/100,0)+IF(F67="Si",(Listini!$V$154-100)/100,0)+IF(G67="Si",(Listini!$V$155-100)/100,0)),0)</f>
        <v>0</v>
      </c>
      <c r="R67" s="301">
        <f>IF(B67&lt;&gt;0,VLOOKUP(B67,Listini!$A$118:$AD$121,23,FALSE)*C67*(1+IF(E67="Si",(Listini!$Y$153-100)/100,0)+IF(G67="Si",(Listini!$Y$155-100)/100,0)),0)</f>
        <v>0</v>
      </c>
      <c r="S67" s="301">
        <f>IF(B67&lt;&gt;0,(VLOOKUP(B67,Listini!$A$118:$AD$121,24,FALSE)*C67+IF(D67&lt;&gt;0,VLOOKUP(CONCATENATE(B67,"-BR"),Listini!$A$147:$AD$150,24,FALSE)*D67,0))*(1+IF(E67="Si",(Listini!$Z$153-100)/100,0)+IF(F67="Si",(Listini!$Z$154-100)/100,0)+IF(G67="Si",(Listini!$Z$155-100)/100,0)),0)</f>
        <v>0</v>
      </c>
      <c r="T67" s="301">
        <f>IF(B67&lt;&gt;0,VLOOKUP(B67,Listini!$A$118:$AD$121,27,FALSE)*C67*(1+IF(E67="Si",(Listini!$AC$153-100)/100,0)+IF(G67="Si",(Listini!$AC$155-100)/100,0)),0)</f>
        <v>0</v>
      </c>
      <c r="U67" s="301">
        <f>IF(B67&lt;&gt;0,(VLOOKUP(B67,Listini!$A$118:$AD$121,28,FALSE)*C67+IF(D67&lt;&gt;0,VLOOKUP(CONCATENATE(B67,"-BR"),Listini!$A$147:$AD$150,28,FALSE)*D67,0))*(1+IF(E67="Si",(Listini!$AD$153-100)/100,0)+IF(F67="Si",(Listini!$AD$154-100)/100,0)+IF(G67="Si",(Listini!$AD$155-100)/100,0)),0)</f>
        <v>0</v>
      </c>
      <c r="V67" s="301">
        <f>IF(B67&lt;&gt;0,VLOOKUP(B67,'Listino Offerta'!$A$118:$AD$121,3,FALSE)*C67*(1+IF(E67="Si",('Listino Offerta'!$E$153-100)/100,0)+IF(G67="Si",('Listino Offerta'!$E$155-100)/100,0)),0)</f>
        <v>0</v>
      </c>
      <c r="W67" s="301">
        <f>IF(B67&lt;&gt;0,(VLOOKUP(B67,'Listino Offerta'!$A$118:$AD$121,4,FALSE)*C67+IF(D67&lt;&gt;0,VLOOKUP(CONCATENATE(B67,"-BR"),'Listino Offerta'!$A$147:$AD$150,4,FALSE)*D67,0))*(1+IF(E67="Si",('Listino Offerta'!$F$153-100)/100,0)+IF(F67="Si",('Listino Offerta'!$F$154-100)/100,0)+IF(G67="Si",('Listino Offerta'!$F$155-100)/100,0)),0)</f>
        <v>0</v>
      </c>
    </row>
    <row r="68" spans="1:23" s="302" customFormat="1" ht="12" customHeight="1">
      <c r="A68" s="303">
        <v>15</v>
      </c>
      <c r="B68" s="303">
        <f>'Servizi Com. Evoluta - VoIP'!D38</f>
        <v>0</v>
      </c>
      <c r="C68" s="302">
        <f>'Servizi Com. Evoluta - VoIP'!E38</f>
        <v>0</v>
      </c>
      <c r="D68" s="303">
        <f>'Servizi Com. Evoluta - VoIP'!F38</f>
        <v>0</v>
      </c>
      <c r="E68" s="299">
        <f>IF(AND('Servizi Com. Evoluta - VoIP'!G38="Si",'Servizi Com. Evoluta - VoIP'!H38&lt;&gt;"Si"),"Si","")</f>
      </c>
      <c r="F68" s="299">
        <f>IF(AND('Servizi Com. Evoluta - VoIP'!G38&lt;&gt;"Si",'Servizi Com. Evoluta - VoIP'!H38="Si"),"Si","")</f>
      </c>
      <c r="G68" s="299">
        <f>IF(AND('Servizi Com. Evoluta - VoIP'!G38="Si",'Servizi Com. Evoluta - VoIP'!H38="Si"),"Si","")</f>
      </c>
      <c r="H68" s="301">
        <f>IF(B68&lt;&gt;0,VLOOKUP(B68,Listini!$A$118:$AD$121,3,FALSE)*C68*(1+IF(E68="Si",(Listini!$E$153-100)/100,0)+IF(G68="Si",(Listini!$E$155-100)/100,0)),0)</f>
        <v>0</v>
      </c>
      <c r="I68" s="301">
        <f>IF(B68&lt;&gt;0,(VLOOKUP(B68,Listini!$A$118:$AD$121,4,FALSE)*C68+IF(D68&lt;&gt;0,VLOOKUP(CONCATENATE(B68,"-BR"),Listini!$A$147:$AD$150,4,FALSE)*D68,0))*(1+IF(E68="Si",(Listini!$F$153-100)/100,0)+IF(F68="Si",(Listini!$F$154-100)/100,0)+IF(G68="Si",(Listini!$F$155-100)/100,0)),0)</f>
        <v>0</v>
      </c>
      <c r="J68" s="301">
        <f>IF(B68&lt;&gt;0,VLOOKUP(B68,Listini!$A$118:$AD$121,7,FALSE)*C68*(1+IF(E68="Si",(Listini!$I$153-100)/100,0)+IF(G68="Si",(Listini!$I$155-100)/100,0)),0)</f>
        <v>0</v>
      </c>
      <c r="K68" s="301">
        <f>IF(B68&lt;&gt;0,(VLOOKUP(B68,Listini!$A$118:$AD$121,8,FALSE)*C68+IF(D68&lt;&gt;0,VLOOKUP(CONCATENATE(B68,"-BR"),Listini!$A$147:$AD$150,8,FALSE)*D68,0))*(1+IF(E68="Si",(Listini!$J$153-100)/100,0)+IF(F68="Si",(Listini!$J$154-100)/100,0)+IF(G68="Si",(Listini!$J$155-100)/100,0)),0)</f>
        <v>0</v>
      </c>
      <c r="L68" s="301">
        <f>IF(B68&lt;&gt;0,VLOOKUP(B68,Listini!$A$118:$AD$121,11,FALSE)*C68*(1+IF(E68="Si",(Listini!$M$153-100)/100,0)+IF(G68="Si",(Listini!$M$155-100)/100,0)),0)</f>
        <v>0</v>
      </c>
      <c r="M68" s="301">
        <f>IF(B68&lt;&gt;0,(VLOOKUP(B68,Listini!$A$118:$AD$121,12,FALSE)*C68+IF(D68&lt;&gt;0,VLOOKUP(CONCATENATE(B68,"-BR"),Listini!$A$147:$AD$150,12,FALSE)*D68,0))*(1+IF(E68="Si",(Listini!$N$153-100)/100,0)+IF(F68="Si",(Listini!$N$154-100)/100,0)+IF(G68="Si",(Listini!$N$155-100)/100,0)),0)</f>
        <v>0</v>
      </c>
      <c r="N68" s="301">
        <f>IF(B68&lt;&gt;0,VLOOKUP(B68,Listini!$A$118:$AD$121,15,FALSE)*C68*(1+IF(E68="Si",(Listini!$Q$153-100)/100,0)+IF(G68="Si",(Listini!$Q$155-100)/100,0)),0)</f>
        <v>0</v>
      </c>
      <c r="O68" s="301">
        <f>IF(B68&lt;&gt;0,(VLOOKUP(B68,Listini!$A$118:$AD$121,16,FALSE)*C68+IF(D68&lt;&gt;0,VLOOKUP(CONCATENATE(B68,"-BR"),Listini!$A$147:$AD$150,16,FALSE)*D68,0))*(1+IF(E68="Si",(Listini!$R$153-100)/100,0)+IF(F68="Si",(Listini!$R$154-100)/100,0)+IF(G68="Si",(Listini!$R$155-100)/100,0)),0)</f>
        <v>0</v>
      </c>
      <c r="P68" s="301">
        <f>IF(B68&lt;&gt;0,VLOOKUP(B68,Listini!$A$118:$AD$121,19,FALSE)*C68*(1+IF(E68="Si",(Listini!$U$153-100)/100,0)+IF(G68="Si",(Listini!$U$155-100)/100,0)),0)</f>
        <v>0</v>
      </c>
      <c r="Q68" s="301">
        <f>IF(B68&lt;&gt;0,(VLOOKUP(B68,Listini!$A$118:$AD$121,20,FALSE)*C68+IF(D68&lt;&gt;0,VLOOKUP(CONCATENATE(B68,"-BR"),Listini!$A$147:$AD$150,20,FALSE)*D68,0))*(1+IF(E68="Si",(Listini!$V$153-100)/100,0)+IF(F68="Si",(Listini!$V$154-100)/100,0)+IF(G68="Si",(Listini!$V$155-100)/100,0)),0)</f>
        <v>0</v>
      </c>
      <c r="R68" s="301">
        <f>IF(B68&lt;&gt;0,VLOOKUP(B68,Listini!$A$118:$AD$121,23,FALSE)*C68*(1+IF(E68="Si",(Listini!$Y$153-100)/100,0)+IF(G68="Si",(Listini!$Y$155-100)/100,0)),0)</f>
        <v>0</v>
      </c>
      <c r="S68" s="301">
        <f>IF(B68&lt;&gt;0,(VLOOKUP(B68,Listini!$A$118:$AD$121,24,FALSE)*C68+IF(D68&lt;&gt;0,VLOOKUP(CONCATENATE(B68,"-BR"),Listini!$A$147:$AD$150,24,FALSE)*D68,0))*(1+IF(E68="Si",(Listini!$Z$153-100)/100,0)+IF(F68="Si",(Listini!$Z$154-100)/100,0)+IF(G68="Si",(Listini!$Z$155-100)/100,0)),0)</f>
        <v>0</v>
      </c>
      <c r="T68" s="301">
        <f>IF(B68&lt;&gt;0,VLOOKUP(B68,Listini!$A$118:$AD$121,27,FALSE)*C68*(1+IF(E68="Si",(Listini!$AC$153-100)/100,0)+IF(G68="Si",(Listini!$AC$155-100)/100,0)),0)</f>
        <v>0</v>
      </c>
      <c r="U68" s="301">
        <f>IF(B68&lt;&gt;0,(VLOOKUP(B68,Listini!$A$118:$AD$121,28,FALSE)*C68+IF(D68&lt;&gt;0,VLOOKUP(CONCATENATE(B68,"-BR"),Listini!$A$147:$AD$150,28,FALSE)*D68,0))*(1+IF(E68="Si",(Listini!$AD$153-100)/100,0)+IF(F68="Si",(Listini!$AD$154-100)/100,0)+IF(G68="Si",(Listini!$AD$155-100)/100,0)),0)</f>
        <v>0</v>
      </c>
      <c r="V68" s="301">
        <f>IF(B68&lt;&gt;0,VLOOKUP(B68,'Listino Offerta'!$A$118:$AD$121,3,FALSE)*C68*(1+IF(E68="Si",('Listino Offerta'!$E$153-100)/100,0)+IF(G68="Si",('Listino Offerta'!$E$155-100)/100,0)),0)</f>
        <v>0</v>
      </c>
      <c r="W68" s="301">
        <f>IF(B68&lt;&gt;0,(VLOOKUP(B68,'Listino Offerta'!$A$118:$AD$121,4,FALSE)*C68+IF(D68&lt;&gt;0,VLOOKUP(CONCATENATE(B68,"-BR"),'Listino Offerta'!$A$147:$AD$150,4,FALSE)*D68,0))*(1+IF(E68="Si",('Listino Offerta'!$F$153-100)/100,0)+IF(F68="Si",('Listino Offerta'!$F$154-100)/100,0)+IF(G68="Si",('Listino Offerta'!$F$155-100)/100,0)),0)</f>
        <v>0</v>
      </c>
    </row>
    <row r="69" spans="1:23" s="302" customFormat="1" ht="12" customHeight="1">
      <c r="A69" s="303">
        <v>16</v>
      </c>
      <c r="B69" s="303">
        <f>'Servizi Com. Evoluta - VoIP'!D39</f>
        <v>0</v>
      </c>
      <c r="C69" s="302">
        <f>'Servizi Com. Evoluta - VoIP'!E39</f>
        <v>0</v>
      </c>
      <c r="D69" s="303">
        <f>'Servizi Com. Evoluta - VoIP'!F39</f>
        <v>0</v>
      </c>
      <c r="E69" s="299">
        <f>IF(AND('Servizi Com. Evoluta - VoIP'!G39="Si",'Servizi Com. Evoluta - VoIP'!H39&lt;&gt;"Si"),"Si","")</f>
      </c>
      <c r="F69" s="299">
        <f>IF(AND('Servizi Com. Evoluta - VoIP'!G39&lt;&gt;"Si",'Servizi Com. Evoluta - VoIP'!H39="Si"),"Si","")</f>
      </c>
      <c r="G69" s="299">
        <f>IF(AND('Servizi Com. Evoluta - VoIP'!G39="Si",'Servizi Com. Evoluta - VoIP'!H39="Si"),"Si","")</f>
      </c>
      <c r="H69" s="301">
        <f>IF(B69&lt;&gt;0,VLOOKUP(B69,Listini!$A$118:$AD$121,3,FALSE)*C69*(1+IF(E69="Si",(Listini!$E$153-100)/100,0)+IF(G69="Si",(Listini!$E$155-100)/100,0)),0)</f>
        <v>0</v>
      </c>
      <c r="I69" s="301">
        <f>IF(B69&lt;&gt;0,(VLOOKUP(B69,Listini!$A$118:$AD$121,4,FALSE)*C69+IF(D69&lt;&gt;0,VLOOKUP(CONCATENATE(B69,"-BR"),Listini!$A$147:$AD$150,4,FALSE)*D69,0))*(1+IF(E69="Si",(Listini!$F$153-100)/100,0)+IF(F69="Si",(Listini!$F$154-100)/100,0)+IF(G69="Si",(Listini!$F$155-100)/100,0)),0)</f>
        <v>0</v>
      </c>
      <c r="J69" s="301">
        <f>IF(B69&lt;&gt;0,VLOOKUP(B69,Listini!$A$118:$AD$121,7,FALSE)*C69*(1+IF(E69="Si",(Listini!$I$153-100)/100,0)+IF(G69="Si",(Listini!$I$155-100)/100,0)),0)</f>
        <v>0</v>
      </c>
      <c r="K69" s="301">
        <f>IF(B69&lt;&gt;0,(VLOOKUP(B69,Listini!$A$118:$AD$121,8,FALSE)*C69+IF(D69&lt;&gt;0,VLOOKUP(CONCATENATE(B69,"-BR"),Listini!$A$147:$AD$150,8,FALSE)*D69,0))*(1+IF(E69="Si",(Listini!$J$153-100)/100,0)+IF(F69="Si",(Listini!$J$154-100)/100,0)+IF(G69="Si",(Listini!$J$155-100)/100,0)),0)</f>
        <v>0</v>
      </c>
      <c r="L69" s="301">
        <f>IF(B69&lt;&gt;0,VLOOKUP(B69,Listini!$A$118:$AD$121,11,FALSE)*C69*(1+IF(E69="Si",(Listini!$M$153-100)/100,0)+IF(G69="Si",(Listini!$M$155-100)/100,0)),0)</f>
        <v>0</v>
      </c>
      <c r="M69" s="301">
        <f>IF(B69&lt;&gt;0,(VLOOKUP(B69,Listini!$A$118:$AD$121,12,FALSE)*C69+IF(D69&lt;&gt;0,VLOOKUP(CONCATENATE(B69,"-BR"),Listini!$A$147:$AD$150,12,FALSE)*D69,0))*(1+IF(E69="Si",(Listini!$N$153-100)/100,0)+IF(F69="Si",(Listini!$N$154-100)/100,0)+IF(G69="Si",(Listini!$N$155-100)/100,0)),0)</f>
        <v>0</v>
      </c>
      <c r="N69" s="301">
        <f>IF(B69&lt;&gt;0,VLOOKUP(B69,Listini!$A$118:$AD$121,15,FALSE)*C69*(1+IF(E69="Si",(Listini!$Q$153-100)/100,0)+IF(G69="Si",(Listini!$Q$155-100)/100,0)),0)</f>
        <v>0</v>
      </c>
      <c r="O69" s="301">
        <f>IF(B69&lt;&gt;0,(VLOOKUP(B69,Listini!$A$118:$AD$121,16,FALSE)*C69+IF(D69&lt;&gt;0,VLOOKUP(CONCATENATE(B69,"-BR"),Listini!$A$147:$AD$150,16,FALSE)*D69,0))*(1+IF(E69="Si",(Listini!$R$153-100)/100,0)+IF(F69="Si",(Listini!$R$154-100)/100,0)+IF(G69="Si",(Listini!$R$155-100)/100,0)),0)</f>
        <v>0</v>
      </c>
      <c r="P69" s="301">
        <f>IF(B69&lt;&gt;0,VLOOKUP(B69,Listini!$A$118:$AD$121,19,FALSE)*C69*(1+IF(E69="Si",(Listini!$U$153-100)/100,0)+IF(G69="Si",(Listini!$U$155-100)/100,0)),0)</f>
        <v>0</v>
      </c>
      <c r="Q69" s="301">
        <f>IF(B69&lt;&gt;0,(VLOOKUP(B69,Listini!$A$118:$AD$121,20,FALSE)*C69+IF(D69&lt;&gt;0,VLOOKUP(CONCATENATE(B69,"-BR"),Listini!$A$147:$AD$150,20,FALSE)*D69,0))*(1+IF(E69="Si",(Listini!$V$153-100)/100,0)+IF(F69="Si",(Listini!$V$154-100)/100,0)+IF(G69="Si",(Listini!$V$155-100)/100,0)),0)</f>
        <v>0</v>
      </c>
      <c r="R69" s="301">
        <f>IF(B69&lt;&gt;0,VLOOKUP(B69,Listini!$A$118:$AD$121,23,FALSE)*C69*(1+IF(E69="Si",(Listini!$Y$153-100)/100,0)+IF(G69="Si",(Listini!$Y$155-100)/100,0)),0)</f>
        <v>0</v>
      </c>
      <c r="S69" s="301">
        <f>IF(B69&lt;&gt;0,(VLOOKUP(B69,Listini!$A$118:$AD$121,24,FALSE)*C69+IF(D69&lt;&gt;0,VLOOKUP(CONCATENATE(B69,"-BR"),Listini!$A$147:$AD$150,24,FALSE)*D69,0))*(1+IF(E69="Si",(Listini!$Z$153-100)/100,0)+IF(F69="Si",(Listini!$Z$154-100)/100,0)+IF(G69="Si",(Listini!$Z$155-100)/100,0)),0)</f>
        <v>0</v>
      </c>
      <c r="T69" s="301">
        <f>IF(B69&lt;&gt;0,VLOOKUP(B69,Listini!$A$118:$AD$121,27,FALSE)*C69*(1+IF(E69="Si",(Listini!$AC$153-100)/100,0)+IF(G69="Si",(Listini!$AC$155-100)/100,0)),0)</f>
        <v>0</v>
      </c>
      <c r="U69" s="301">
        <f>IF(B69&lt;&gt;0,(VLOOKUP(B69,Listini!$A$118:$AD$121,28,FALSE)*C69+IF(D69&lt;&gt;0,VLOOKUP(CONCATENATE(B69,"-BR"),Listini!$A$147:$AD$150,28,FALSE)*D69,0))*(1+IF(E69="Si",(Listini!$AD$153-100)/100,0)+IF(F69="Si",(Listini!$AD$154-100)/100,0)+IF(G69="Si",(Listini!$AD$155-100)/100,0)),0)</f>
        <v>0</v>
      </c>
      <c r="V69" s="301">
        <f>IF(B69&lt;&gt;0,VLOOKUP(B69,'Listino Offerta'!$A$118:$AD$121,3,FALSE)*C69*(1+IF(E69="Si",('Listino Offerta'!$E$153-100)/100,0)+IF(G69="Si",('Listino Offerta'!$E$155-100)/100,0)),0)</f>
        <v>0</v>
      </c>
      <c r="W69" s="301">
        <f>IF(B69&lt;&gt;0,(VLOOKUP(B69,'Listino Offerta'!$A$118:$AD$121,4,FALSE)*C69+IF(D69&lt;&gt;0,VLOOKUP(CONCATENATE(B69,"-BR"),'Listino Offerta'!$A$147:$AD$150,4,FALSE)*D69,0))*(1+IF(E69="Si",('Listino Offerta'!$F$153-100)/100,0)+IF(F69="Si",('Listino Offerta'!$F$154-100)/100,0)+IF(G69="Si",('Listino Offerta'!$F$155-100)/100,0)),0)</f>
        <v>0</v>
      </c>
    </row>
    <row r="70" spans="1:23" s="302" customFormat="1" ht="12" customHeight="1">
      <c r="A70" s="303">
        <v>17</v>
      </c>
      <c r="B70" s="303">
        <f>'Servizi Com. Evoluta - VoIP'!D40</f>
        <v>0</v>
      </c>
      <c r="C70" s="302">
        <f>'Servizi Com. Evoluta - VoIP'!E40</f>
        <v>0</v>
      </c>
      <c r="D70" s="303">
        <f>'Servizi Com. Evoluta - VoIP'!F40</f>
        <v>0</v>
      </c>
      <c r="E70" s="299">
        <f>IF(AND('Servizi Com. Evoluta - VoIP'!G40="Si",'Servizi Com. Evoluta - VoIP'!H40&lt;&gt;"Si"),"Si","")</f>
      </c>
      <c r="F70" s="299">
        <f>IF(AND('Servizi Com. Evoluta - VoIP'!G40&lt;&gt;"Si",'Servizi Com. Evoluta - VoIP'!H40="Si"),"Si","")</f>
      </c>
      <c r="G70" s="299">
        <f>IF(AND('Servizi Com. Evoluta - VoIP'!G40="Si",'Servizi Com. Evoluta - VoIP'!H40="Si"),"Si","")</f>
      </c>
      <c r="H70" s="301">
        <f>IF(B70&lt;&gt;0,VLOOKUP(B70,Listini!$A$118:$AD$121,3,FALSE)*C70*(1+IF(E70="Si",(Listini!$E$153-100)/100,0)+IF(G70="Si",(Listini!$E$155-100)/100,0)),0)</f>
        <v>0</v>
      </c>
      <c r="I70" s="301">
        <f>IF(B70&lt;&gt;0,(VLOOKUP(B70,Listini!$A$118:$AD$121,4,FALSE)*C70+IF(D70&lt;&gt;0,VLOOKUP(CONCATENATE(B70,"-BR"),Listini!$A$147:$AD$150,4,FALSE)*D70,0))*(1+IF(E70="Si",(Listini!$F$153-100)/100,0)+IF(F70="Si",(Listini!$F$154-100)/100,0)+IF(G70="Si",(Listini!$F$155-100)/100,0)),0)</f>
        <v>0</v>
      </c>
      <c r="J70" s="301">
        <f>IF(B70&lt;&gt;0,VLOOKUP(B70,Listini!$A$118:$AD$121,7,FALSE)*C70*(1+IF(E70="Si",(Listini!$I$153-100)/100,0)+IF(G70="Si",(Listini!$I$155-100)/100,0)),0)</f>
        <v>0</v>
      </c>
      <c r="K70" s="301">
        <f>IF(B70&lt;&gt;0,(VLOOKUP(B70,Listini!$A$118:$AD$121,8,FALSE)*C70+IF(D70&lt;&gt;0,VLOOKUP(CONCATENATE(B70,"-BR"),Listini!$A$147:$AD$150,8,FALSE)*D70,0))*(1+IF(E70="Si",(Listini!$J$153-100)/100,0)+IF(F70="Si",(Listini!$J$154-100)/100,0)+IF(G70="Si",(Listini!$J$155-100)/100,0)),0)</f>
        <v>0</v>
      </c>
      <c r="L70" s="301">
        <f>IF(B70&lt;&gt;0,VLOOKUP(B70,Listini!$A$118:$AD$121,11,FALSE)*C70*(1+IF(E70="Si",(Listini!$M$153-100)/100,0)+IF(G70="Si",(Listini!$M$155-100)/100,0)),0)</f>
        <v>0</v>
      </c>
      <c r="M70" s="301">
        <f>IF(B70&lt;&gt;0,(VLOOKUP(B70,Listini!$A$118:$AD$121,12,FALSE)*C70+IF(D70&lt;&gt;0,VLOOKUP(CONCATENATE(B70,"-BR"),Listini!$A$147:$AD$150,12,FALSE)*D70,0))*(1+IF(E70="Si",(Listini!$N$153-100)/100,0)+IF(F70="Si",(Listini!$N$154-100)/100,0)+IF(G70="Si",(Listini!$N$155-100)/100,0)),0)</f>
        <v>0</v>
      </c>
      <c r="N70" s="301">
        <f>IF(B70&lt;&gt;0,VLOOKUP(B70,Listini!$A$118:$AD$121,15,FALSE)*C70*(1+IF(E70="Si",(Listini!$Q$153-100)/100,0)+IF(G70="Si",(Listini!$Q$155-100)/100,0)),0)</f>
        <v>0</v>
      </c>
      <c r="O70" s="301">
        <f>IF(B70&lt;&gt;0,(VLOOKUP(B70,Listini!$A$118:$AD$121,16,FALSE)*C70+IF(D70&lt;&gt;0,VLOOKUP(CONCATENATE(B70,"-BR"),Listini!$A$147:$AD$150,16,FALSE)*D70,0))*(1+IF(E70="Si",(Listini!$R$153-100)/100,0)+IF(F70="Si",(Listini!$R$154-100)/100,0)+IF(G70="Si",(Listini!$R$155-100)/100,0)),0)</f>
        <v>0</v>
      </c>
      <c r="P70" s="301">
        <f>IF(B70&lt;&gt;0,VLOOKUP(B70,Listini!$A$118:$AD$121,19,FALSE)*C70*(1+IF(E70="Si",(Listini!$U$153-100)/100,0)+IF(G70="Si",(Listini!$U$155-100)/100,0)),0)</f>
        <v>0</v>
      </c>
      <c r="Q70" s="301">
        <f>IF(B70&lt;&gt;0,(VLOOKUP(B70,Listini!$A$118:$AD$121,20,FALSE)*C70+IF(D70&lt;&gt;0,VLOOKUP(CONCATENATE(B70,"-BR"),Listini!$A$147:$AD$150,20,FALSE)*D70,0))*(1+IF(E70="Si",(Listini!$V$153-100)/100,0)+IF(F70="Si",(Listini!$V$154-100)/100,0)+IF(G70="Si",(Listini!$V$155-100)/100,0)),0)</f>
        <v>0</v>
      </c>
      <c r="R70" s="301">
        <f>IF(B70&lt;&gt;0,VLOOKUP(B70,Listini!$A$118:$AD$121,23,FALSE)*C70*(1+IF(E70="Si",(Listini!$Y$153-100)/100,0)+IF(G70="Si",(Listini!$Y$155-100)/100,0)),0)</f>
        <v>0</v>
      </c>
      <c r="S70" s="301">
        <f>IF(B70&lt;&gt;0,(VLOOKUP(B70,Listini!$A$118:$AD$121,24,FALSE)*C70+IF(D70&lt;&gt;0,VLOOKUP(CONCATENATE(B70,"-BR"),Listini!$A$147:$AD$150,24,FALSE)*D70,0))*(1+IF(E70="Si",(Listini!$Z$153-100)/100,0)+IF(F70="Si",(Listini!$Z$154-100)/100,0)+IF(G70="Si",(Listini!$Z$155-100)/100,0)),0)</f>
        <v>0</v>
      </c>
      <c r="T70" s="301">
        <f>IF(B70&lt;&gt;0,VLOOKUP(B70,Listini!$A$118:$AD$121,27,FALSE)*C70*(1+IF(E70="Si",(Listini!$AC$153-100)/100,0)+IF(G70="Si",(Listini!$AC$155-100)/100,0)),0)</f>
        <v>0</v>
      </c>
      <c r="U70" s="301">
        <f>IF(B70&lt;&gt;0,(VLOOKUP(B70,Listini!$A$118:$AD$121,28,FALSE)*C70+IF(D70&lt;&gt;0,VLOOKUP(CONCATENATE(B70,"-BR"),Listini!$A$147:$AD$150,28,FALSE)*D70,0))*(1+IF(E70="Si",(Listini!$AD$153-100)/100,0)+IF(F70="Si",(Listini!$AD$154-100)/100,0)+IF(G70="Si",(Listini!$AD$155-100)/100,0)),0)</f>
        <v>0</v>
      </c>
      <c r="V70" s="301">
        <f>IF(B70&lt;&gt;0,VLOOKUP(B70,'Listino Offerta'!$A$118:$AD$121,3,FALSE)*C70*(1+IF(E70="Si",('Listino Offerta'!$E$153-100)/100,0)+IF(G70="Si",('Listino Offerta'!$E$155-100)/100,0)),0)</f>
        <v>0</v>
      </c>
      <c r="W70" s="301">
        <f>IF(B70&lt;&gt;0,(VLOOKUP(B70,'Listino Offerta'!$A$118:$AD$121,4,FALSE)*C70+IF(D70&lt;&gt;0,VLOOKUP(CONCATENATE(B70,"-BR"),'Listino Offerta'!$A$147:$AD$150,4,FALSE)*D70,0))*(1+IF(E70="Si",('Listino Offerta'!$F$153-100)/100,0)+IF(F70="Si",('Listino Offerta'!$F$154-100)/100,0)+IF(G70="Si",('Listino Offerta'!$F$155-100)/100,0)),0)</f>
        <v>0</v>
      </c>
    </row>
    <row r="71" spans="1:23" s="302" customFormat="1" ht="12" customHeight="1">
      <c r="A71" s="303">
        <v>18</v>
      </c>
      <c r="B71" s="303">
        <f>'Servizi Com. Evoluta - VoIP'!D41</f>
        <v>0</v>
      </c>
      <c r="C71" s="302">
        <f>'Servizi Com. Evoluta - VoIP'!E41</f>
        <v>0</v>
      </c>
      <c r="D71" s="303">
        <f>'Servizi Com. Evoluta - VoIP'!F41</f>
        <v>0</v>
      </c>
      <c r="E71" s="299">
        <f>IF(AND('Servizi Com. Evoluta - VoIP'!G41="Si",'Servizi Com. Evoluta - VoIP'!H41&lt;&gt;"Si"),"Si","")</f>
      </c>
      <c r="F71" s="299">
        <f>IF(AND('Servizi Com. Evoluta - VoIP'!G41&lt;&gt;"Si",'Servizi Com. Evoluta - VoIP'!H41="Si"),"Si","")</f>
      </c>
      <c r="G71" s="299">
        <f>IF(AND('Servizi Com. Evoluta - VoIP'!G41="Si",'Servizi Com. Evoluta - VoIP'!H41="Si"),"Si","")</f>
      </c>
      <c r="H71" s="301">
        <f>IF(B71&lt;&gt;0,VLOOKUP(B71,Listini!$A$118:$AD$121,3,FALSE)*C71*(1+IF(E71="Si",(Listini!$E$153-100)/100,0)+IF(G71="Si",(Listini!$E$155-100)/100,0)),0)</f>
        <v>0</v>
      </c>
      <c r="I71" s="301">
        <f>IF(B71&lt;&gt;0,(VLOOKUP(B71,Listini!$A$118:$AD$121,4,FALSE)*C71+IF(D71&lt;&gt;0,VLOOKUP(CONCATENATE(B71,"-BR"),Listini!$A$147:$AD$150,4,FALSE)*D71,0))*(1+IF(E71="Si",(Listini!$F$153-100)/100,0)+IF(F71="Si",(Listini!$F$154-100)/100,0)+IF(G71="Si",(Listini!$F$155-100)/100,0)),0)</f>
        <v>0</v>
      </c>
      <c r="J71" s="301">
        <f>IF(B71&lt;&gt;0,VLOOKUP(B71,Listini!$A$118:$AD$121,7,FALSE)*C71*(1+IF(E71="Si",(Listini!$I$153-100)/100,0)+IF(G71="Si",(Listini!$I$155-100)/100,0)),0)</f>
        <v>0</v>
      </c>
      <c r="K71" s="301">
        <f>IF(B71&lt;&gt;0,(VLOOKUP(B71,Listini!$A$118:$AD$121,8,FALSE)*C71+IF(D71&lt;&gt;0,VLOOKUP(CONCATENATE(B71,"-BR"),Listini!$A$147:$AD$150,8,FALSE)*D71,0))*(1+IF(E71="Si",(Listini!$J$153-100)/100,0)+IF(F71="Si",(Listini!$J$154-100)/100,0)+IF(G71="Si",(Listini!$J$155-100)/100,0)),0)</f>
        <v>0</v>
      </c>
      <c r="L71" s="301">
        <f>IF(B71&lt;&gt;0,VLOOKUP(B71,Listini!$A$118:$AD$121,11,FALSE)*C71*(1+IF(E71="Si",(Listini!$M$153-100)/100,0)+IF(G71="Si",(Listini!$M$155-100)/100,0)),0)</f>
        <v>0</v>
      </c>
      <c r="M71" s="301">
        <f>IF(B71&lt;&gt;0,(VLOOKUP(B71,Listini!$A$118:$AD$121,12,FALSE)*C71+IF(D71&lt;&gt;0,VLOOKUP(CONCATENATE(B71,"-BR"),Listini!$A$147:$AD$150,12,FALSE)*D71,0))*(1+IF(E71="Si",(Listini!$N$153-100)/100,0)+IF(F71="Si",(Listini!$N$154-100)/100,0)+IF(G71="Si",(Listini!$N$155-100)/100,0)),0)</f>
        <v>0</v>
      </c>
      <c r="N71" s="301">
        <f>IF(B71&lt;&gt;0,VLOOKUP(B71,Listini!$A$118:$AD$121,15,FALSE)*C71*(1+IF(E71="Si",(Listini!$Q$153-100)/100,0)+IF(G71="Si",(Listini!$Q$155-100)/100,0)),0)</f>
        <v>0</v>
      </c>
      <c r="O71" s="301">
        <f>IF(B71&lt;&gt;0,(VLOOKUP(B71,Listini!$A$118:$AD$121,16,FALSE)*C71+IF(D71&lt;&gt;0,VLOOKUP(CONCATENATE(B71,"-BR"),Listini!$A$147:$AD$150,16,FALSE)*D71,0))*(1+IF(E71="Si",(Listini!$R$153-100)/100,0)+IF(F71="Si",(Listini!$R$154-100)/100,0)+IF(G71="Si",(Listini!$R$155-100)/100,0)),0)</f>
        <v>0</v>
      </c>
      <c r="P71" s="301">
        <f>IF(B71&lt;&gt;0,VLOOKUP(B71,Listini!$A$118:$AD$121,19,FALSE)*C71*(1+IF(E71="Si",(Listini!$U$153-100)/100,0)+IF(G71="Si",(Listini!$U$155-100)/100,0)),0)</f>
        <v>0</v>
      </c>
      <c r="Q71" s="301">
        <f>IF(B71&lt;&gt;0,(VLOOKUP(B71,Listini!$A$118:$AD$121,20,FALSE)*C71+IF(D71&lt;&gt;0,VLOOKUP(CONCATENATE(B71,"-BR"),Listini!$A$147:$AD$150,20,FALSE)*D71,0))*(1+IF(E71="Si",(Listini!$V$153-100)/100,0)+IF(F71="Si",(Listini!$V$154-100)/100,0)+IF(G71="Si",(Listini!$V$155-100)/100,0)),0)</f>
        <v>0</v>
      </c>
      <c r="R71" s="301">
        <f>IF(B71&lt;&gt;0,VLOOKUP(B71,Listini!$A$118:$AD$121,23,FALSE)*C71*(1+IF(E71="Si",(Listini!$Y$153-100)/100,0)+IF(G71="Si",(Listini!$Y$155-100)/100,0)),0)</f>
        <v>0</v>
      </c>
      <c r="S71" s="301">
        <f>IF(B71&lt;&gt;0,(VLOOKUP(B71,Listini!$A$118:$AD$121,24,FALSE)*C71+IF(D71&lt;&gt;0,VLOOKUP(CONCATENATE(B71,"-BR"),Listini!$A$147:$AD$150,24,FALSE)*D71,0))*(1+IF(E71="Si",(Listini!$Z$153-100)/100,0)+IF(F71="Si",(Listini!$Z$154-100)/100,0)+IF(G71="Si",(Listini!$Z$155-100)/100,0)),0)</f>
        <v>0</v>
      </c>
      <c r="T71" s="301">
        <f>IF(B71&lt;&gt;0,VLOOKUP(B71,Listini!$A$118:$AD$121,27,FALSE)*C71*(1+IF(E71="Si",(Listini!$AC$153-100)/100,0)+IF(G71="Si",(Listini!$AC$155-100)/100,0)),0)</f>
        <v>0</v>
      </c>
      <c r="U71" s="301">
        <f>IF(B71&lt;&gt;0,(VLOOKUP(B71,Listini!$A$118:$AD$121,28,FALSE)*C71+IF(D71&lt;&gt;0,VLOOKUP(CONCATENATE(B71,"-BR"),Listini!$A$147:$AD$150,28,FALSE)*D71,0))*(1+IF(E71="Si",(Listini!$AD$153-100)/100,0)+IF(F71="Si",(Listini!$AD$154-100)/100,0)+IF(G71="Si",(Listini!$AD$155-100)/100,0)),0)</f>
        <v>0</v>
      </c>
      <c r="V71" s="301">
        <f>IF(B71&lt;&gt;0,VLOOKUP(B71,'Listino Offerta'!$A$118:$AD$121,3,FALSE)*C71*(1+IF(E71="Si",('Listino Offerta'!$E$153-100)/100,0)+IF(G71="Si",('Listino Offerta'!$E$155-100)/100,0)),0)</f>
        <v>0</v>
      </c>
      <c r="W71" s="301">
        <f>IF(B71&lt;&gt;0,(VLOOKUP(B71,'Listino Offerta'!$A$118:$AD$121,4,FALSE)*C71+IF(D71&lt;&gt;0,VLOOKUP(CONCATENATE(B71,"-BR"),'Listino Offerta'!$A$147:$AD$150,4,FALSE)*D71,0))*(1+IF(E71="Si",('Listino Offerta'!$F$153-100)/100,0)+IF(F71="Si",('Listino Offerta'!$F$154-100)/100,0)+IF(G71="Si",('Listino Offerta'!$F$155-100)/100,0)),0)</f>
        <v>0</v>
      </c>
    </row>
    <row r="72" spans="1:23" s="302" customFormat="1" ht="12" customHeight="1">
      <c r="A72" s="303">
        <v>19</v>
      </c>
      <c r="B72" s="303">
        <f>'Servizi Com. Evoluta - VoIP'!D42</f>
        <v>0</v>
      </c>
      <c r="C72" s="302">
        <f>'Servizi Com. Evoluta - VoIP'!E42</f>
        <v>0</v>
      </c>
      <c r="D72" s="303">
        <f>'Servizi Com. Evoluta - VoIP'!F42</f>
        <v>0</v>
      </c>
      <c r="E72" s="299">
        <f>IF(AND('Servizi Com. Evoluta - VoIP'!G42="Si",'Servizi Com. Evoluta - VoIP'!H42&lt;&gt;"Si"),"Si","")</f>
      </c>
      <c r="F72" s="299">
        <f>IF(AND('Servizi Com. Evoluta - VoIP'!G42&lt;&gt;"Si",'Servizi Com. Evoluta - VoIP'!H42="Si"),"Si","")</f>
      </c>
      <c r="G72" s="299">
        <f>IF(AND('Servizi Com. Evoluta - VoIP'!G42="Si",'Servizi Com. Evoluta - VoIP'!H42="Si"),"Si","")</f>
      </c>
      <c r="H72" s="301">
        <f>IF(B72&lt;&gt;0,VLOOKUP(B72,Listini!$A$118:$AD$121,3,FALSE)*C72*(1+IF(E72="Si",(Listini!$E$153-100)/100,0)+IF(G72="Si",(Listini!$E$155-100)/100,0)),0)</f>
        <v>0</v>
      </c>
      <c r="I72" s="301">
        <f>IF(B72&lt;&gt;0,(VLOOKUP(B72,Listini!$A$118:$AD$121,4,FALSE)*C72+IF(D72&lt;&gt;0,VLOOKUP(CONCATENATE(B72,"-BR"),Listini!$A$147:$AD$150,4,FALSE)*D72,0))*(1+IF(E72="Si",(Listini!$F$153-100)/100,0)+IF(F72="Si",(Listini!$F$154-100)/100,0)+IF(G72="Si",(Listini!$F$155-100)/100,0)),0)</f>
        <v>0</v>
      </c>
      <c r="J72" s="301">
        <f>IF(B72&lt;&gt;0,VLOOKUP(B72,Listini!$A$118:$AD$121,7,FALSE)*C72*(1+IF(E72="Si",(Listini!$I$153-100)/100,0)+IF(G72="Si",(Listini!$I$155-100)/100,0)),0)</f>
        <v>0</v>
      </c>
      <c r="K72" s="301">
        <f>IF(B72&lt;&gt;0,(VLOOKUP(B72,Listini!$A$118:$AD$121,8,FALSE)*C72+IF(D72&lt;&gt;0,VLOOKUP(CONCATENATE(B72,"-BR"),Listini!$A$147:$AD$150,8,FALSE)*D72,0))*(1+IF(E72="Si",(Listini!$J$153-100)/100,0)+IF(F72="Si",(Listini!$J$154-100)/100,0)+IF(G72="Si",(Listini!$J$155-100)/100,0)),0)</f>
        <v>0</v>
      </c>
      <c r="L72" s="301">
        <f>IF(B72&lt;&gt;0,VLOOKUP(B72,Listini!$A$118:$AD$121,11,FALSE)*C72*(1+IF(E72="Si",(Listini!$M$153-100)/100,0)+IF(G72="Si",(Listini!$M$155-100)/100,0)),0)</f>
        <v>0</v>
      </c>
      <c r="M72" s="301">
        <f>IF(B72&lt;&gt;0,(VLOOKUP(B72,Listini!$A$118:$AD$121,12,FALSE)*C72+IF(D72&lt;&gt;0,VLOOKUP(CONCATENATE(B72,"-BR"),Listini!$A$147:$AD$150,12,FALSE)*D72,0))*(1+IF(E72="Si",(Listini!$N$153-100)/100,0)+IF(F72="Si",(Listini!$N$154-100)/100,0)+IF(G72="Si",(Listini!$N$155-100)/100,0)),0)</f>
        <v>0</v>
      </c>
      <c r="N72" s="301">
        <f>IF(B72&lt;&gt;0,VLOOKUP(B72,Listini!$A$118:$AD$121,15,FALSE)*C72*(1+IF(E72="Si",(Listini!$Q$153-100)/100,0)+IF(G72="Si",(Listini!$Q$155-100)/100,0)),0)</f>
        <v>0</v>
      </c>
      <c r="O72" s="301">
        <f>IF(B72&lt;&gt;0,(VLOOKUP(B72,Listini!$A$118:$AD$121,16,FALSE)*C72+IF(D72&lt;&gt;0,VLOOKUP(CONCATENATE(B72,"-BR"),Listini!$A$147:$AD$150,16,FALSE)*D72,0))*(1+IF(E72="Si",(Listini!$R$153-100)/100,0)+IF(F72="Si",(Listini!$R$154-100)/100,0)+IF(G72="Si",(Listini!$R$155-100)/100,0)),0)</f>
        <v>0</v>
      </c>
      <c r="P72" s="301">
        <f>IF(B72&lt;&gt;0,VLOOKUP(B72,Listini!$A$118:$AD$121,19,FALSE)*C72*(1+IF(E72="Si",(Listini!$U$153-100)/100,0)+IF(G72="Si",(Listini!$U$155-100)/100,0)),0)</f>
        <v>0</v>
      </c>
      <c r="Q72" s="301">
        <f>IF(B72&lt;&gt;0,(VLOOKUP(B72,Listini!$A$118:$AD$121,20,FALSE)*C72+IF(D72&lt;&gt;0,VLOOKUP(CONCATENATE(B72,"-BR"),Listini!$A$147:$AD$150,20,FALSE)*D72,0))*(1+IF(E72="Si",(Listini!$V$153-100)/100,0)+IF(F72="Si",(Listini!$V$154-100)/100,0)+IF(G72="Si",(Listini!$V$155-100)/100,0)),0)</f>
        <v>0</v>
      </c>
      <c r="R72" s="301">
        <f>IF(B72&lt;&gt;0,VLOOKUP(B72,Listini!$A$118:$AD$121,23,FALSE)*C72*(1+IF(E72="Si",(Listini!$Y$153-100)/100,0)+IF(G72="Si",(Listini!$Y$155-100)/100,0)),0)</f>
        <v>0</v>
      </c>
      <c r="S72" s="301">
        <f>IF(B72&lt;&gt;0,(VLOOKUP(B72,Listini!$A$118:$AD$121,24,FALSE)*C72+IF(D72&lt;&gt;0,VLOOKUP(CONCATENATE(B72,"-BR"),Listini!$A$147:$AD$150,24,FALSE)*D72,0))*(1+IF(E72="Si",(Listini!$Z$153-100)/100,0)+IF(F72="Si",(Listini!$Z$154-100)/100,0)+IF(G72="Si",(Listini!$Z$155-100)/100,0)),0)</f>
        <v>0</v>
      </c>
      <c r="T72" s="301">
        <f>IF(B72&lt;&gt;0,VLOOKUP(B72,Listini!$A$118:$AD$121,27,FALSE)*C72*(1+IF(E72="Si",(Listini!$AC$153-100)/100,0)+IF(G72="Si",(Listini!$AC$155-100)/100,0)),0)</f>
        <v>0</v>
      </c>
      <c r="U72" s="301">
        <f>IF(B72&lt;&gt;0,(VLOOKUP(B72,Listini!$A$118:$AD$121,28,FALSE)*C72+IF(D72&lt;&gt;0,VLOOKUP(CONCATENATE(B72,"-BR"),Listini!$A$147:$AD$150,28,FALSE)*D72,0))*(1+IF(E72="Si",(Listini!$AD$153-100)/100,0)+IF(F72="Si",(Listini!$AD$154-100)/100,0)+IF(G72="Si",(Listini!$AD$155-100)/100,0)),0)</f>
        <v>0</v>
      </c>
      <c r="V72" s="301">
        <f>IF(B72&lt;&gt;0,VLOOKUP(B72,'Listino Offerta'!$A$118:$AD$121,3,FALSE)*C72*(1+IF(E72="Si",('Listino Offerta'!$E$153-100)/100,0)+IF(G72="Si",('Listino Offerta'!$E$155-100)/100,0)),0)</f>
        <v>0</v>
      </c>
      <c r="W72" s="301">
        <f>IF(B72&lt;&gt;0,(VLOOKUP(B72,'Listino Offerta'!$A$118:$AD$121,4,FALSE)*C72+IF(D72&lt;&gt;0,VLOOKUP(CONCATENATE(B72,"-BR"),'Listino Offerta'!$A$147:$AD$150,4,FALSE)*D72,0))*(1+IF(E72="Si",('Listino Offerta'!$F$153-100)/100,0)+IF(F72="Si",('Listino Offerta'!$F$154-100)/100,0)+IF(G72="Si",('Listino Offerta'!$F$155-100)/100,0)),0)</f>
        <v>0</v>
      </c>
    </row>
    <row r="73" spans="1:23" s="302" customFormat="1" ht="12" customHeight="1">
      <c r="A73" s="303">
        <v>20</v>
      </c>
      <c r="B73" s="303">
        <f>'Servizi Com. Evoluta - VoIP'!D43</f>
        <v>0</v>
      </c>
      <c r="C73" s="302">
        <f>'Servizi Com. Evoluta - VoIP'!E43</f>
        <v>0</v>
      </c>
      <c r="D73" s="303">
        <f>'Servizi Com. Evoluta - VoIP'!F43</f>
        <v>0</v>
      </c>
      <c r="E73" s="299">
        <f>IF(AND('Servizi Com. Evoluta - VoIP'!G43="Si",'Servizi Com. Evoluta - VoIP'!H43&lt;&gt;"Si"),"Si","")</f>
      </c>
      <c r="F73" s="299">
        <f>IF(AND('Servizi Com. Evoluta - VoIP'!G43&lt;&gt;"Si",'Servizi Com. Evoluta - VoIP'!H43="Si"),"Si","")</f>
      </c>
      <c r="G73" s="299">
        <f>IF(AND('Servizi Com. Evoluta - VoIP'!G43="Si",'Servizi Com. Evoluta - VoIP'!H43="Si"),"Si","")</f>
      </c>
      <c r="H73" s="301">
        <f>IF(B73&lt;&gt;0,VLOOKUP(B73,Listini!$A$118:$AD$121,3,FALSE)*C73*(1+IF(E73="Si",(Listini!$E$153-100)/100,0)+IF(G73="Si",(Listini!$E$155-100)/100,0)),0)</f>
        <v>0</v>
      </c>
      <c r="I73" s="301">
        <f>IF(B73&lt;&gt;0,(VLOOKUP(B73,Listini!$A$118:$AD$121,4,FALSE)*C73+IF(D73&lt;&gt;0,VLOOKUP(CONCATENATE(B73,"-BR"),Listini!$A$147:$AD$150,4,FALSE)*D73,0))*(1+IF(E73="Si",(Listini!$F$153-100)/100,0)+IF(F73="Si",(Listini!$F$154-100)/100,0)+IF(G73="Si",(Listini!$F$155-100)/100,0)),0)</f>
        <v>0</v>
      </c>
      <c r="J73" s="301">
        <f>IF(B73&lt;&gt;0,VLOOKUP(B73,Listini!$A$118:$AD$121,7,FALSE)*C73*(1+IF(E73="Si",(Listini!$I$153-100)/100,0)+IF(G73="Si",(Listini!$I$155-100)/100,0)),0)</f>
        <v>0</v>
      </c>
      <c r="K73" s="301">
        <f>IF(B73&lt;&gt;0,(VLOOKUP(B73,Listini!$A$118:$AD$121,8,FALSE)*C73+IF(D73&lt;&gt;0,VLOOKUP(CONCATENATE(B73,"-BR"),Listini!$A$147:$AD$150,8,FALSE)*D73,0))*(1+IF(E73="Si",(Listini!$J$153-100)/100,0)+IF(F73="Si",(Listini!$J$154-100)/100,0)+IF(G73="Si",(Listini!$J$155-100)/100,0)),0)</f>
        <v>0</v>
      </c>
      <c r="L73" s="301">
        <f>IF(B73&lt;&gt;0,VLOOKUP(B73,Listini!$A$118:$AD$121,11,FALSE)*C73*(1+IF(E73="Si",(Listini!$M$153-100)/100,0)+IF(G73="Si",(Listini!$M$155-100)/100,0)),0)</f>
        <v>0</v>
      </c>
      <c r="M73" s="301">
        <f>IF(B73&lt;&gt;0,(VLOOKUP(B73,Listini!$A$118:$AD$121,12,FALSE)*C73+IF(D73&lt;&gt;0,VLOOKUP(CONCATENATE(B73,"-BR"),Listini!$A$147:$AD$150,12,FALSE)*D73,0))*(1+IF(E73="Si",(Listini!$N$153-100)/100,0)+IF(F73="Si",(Listini!$N$154-100)/100,0)+IF(G73="Si",(Listini!$N$155-100)/100,0)),0)</f>
        <v>0</v>
      </c>
      <c r="N73" s="301">
        <f>IF(B73&lt;&gt;0,VLOOKUP(B73,Listini!$A$118:$AD$121,15,FALSE)*C73*(1+IF(E73="Si",(Listini!$Q$153-100)/100,0)+IF(G73="Si",(Listini!$Q$155-100)/100,0)),0)</f>
        <v>0</v>
      </c>
      <c r="O73" s="301">
        <f>IF(B73&lt;&gt;0,(VLOOKUP(B73,Listini!$A$118:$AD$121,16,FALSE)*C73+IF(D73&lt;&gt;0,VLOOKUP(CONCATENATE(B73,"-BR"),Listini!$A$147:$AD$150,16,FALSE)*D73,0))*(1+IF(E73="Si",(Listini!$R$153-100)/100,0)+IF(F73="Si",(Listini!$R$154-100)/100,0)+IF(G73="Si",(Listini!$R$155-100)/100,0)),0)</f>
        <v>0</v>
      </c>
      <c r="P73" s="301">
        <f>IF(B73&lt;&gt;0,VLOOKUP(B73,Listini!$A$118:$AD$121,19,FALSE)*C73*(1+IF(E73="Si",(Listini!$U$153-100)/100,0)+IF(G73="Si",(Listini!$U$155-100)/100,0)),0)</f>
        <v>0</v>
      </c>
      <c r="Q73" s="301">
        <f>IF(B73&lt;&gt;0,(VLOOKUP(B73,Listini!$A$118:$AD$121,20,FALSE)*C73+IF(D73&lt;&gt;0,VLOOKUP(CONCATENATE(B73,"-BR"),Listini!$A$147:$AD$150,20,FALSE)*D73,0))*(1+IF(E73="Si",(Listini!$V$153-100)/100,0)+IF(F73="Si",(Listini!$V$154-100)/100,0)+IF(G73="Si",(Listini!$V$155-100)/100,0)),0)</f>
        <v>0</v>
      </c>
      <c r="R73" s="301">
        <f>IF(B73&lt;&gt;0,VLOOKUP(B73,Listini!$A$118:$AD$121,23,FALSE)*C73*(1+IF(E73="Si",(Listini!$Y$153-100)/100,0)+IF(G73="Si",(Listini!$Y$155-100)/100,0)),0)</f>
        <v>0</v>
      </c>
      <c r="S73" s="301">
        <f>IF(B73&lt;&gt;0,(VLOOKUP(B73,Listini!$A$118:$AD$121,24,FALSE)*C73+IF(D73&lt;&gt;0,VLOOKUP(CONCATENATE(B73,"-BR"),Listini!$A$147:$AD$150,24,FALSE)*D73,0))*(1+IF(E73="Si",(Listini!$Z$153-100)/100,0)+IF(F73="Si",(Listini!$Z$154-100)/100,0)+IF(G73="Si",(Listini!$Z$155-100)/100,0)),0)</f>
        <v>0</v>
      </c>
      <c r="T73" s="301">
        <f>IF(B73&lt;&gt;0,VLOOKUP(B73,Listini!$A$118:$AD$121,27,FALSE)*C73*(1+IF(E73="Si",(Listini!$AC$153-100)/100,0)+IF(G73="Si",(Listini!$AC$155-100)/100,0)),0)</f>
        <v>0</v>
      </c>
      <c r="U73" s="301">
        <f>IF(B73&lt;&gt;0,(VLOOKUP(B73,Listini!$A$118:$AD$121,28,FALSE)*C73+IF(D73&lt;&gt;0,VLOOKUP(CONCATENATE(B73,"-BR"),Listini!$A$147:$AD$150,28,FALSE)*D73,0))*(1+IF(E73="Si",(Listini!$AD$153-100)/100,0)+IF(F73="Si",(Listini!$AD$154-100)/100,0)+IF(G73="Si",(Listini!$AD$155-100)/100,0)),0)</f>
        <v>0</v>
      </c>
      <c r="V73" s="301">
        <f>IF(B73&lt;&gt;0,VLOOKUP(B73,'Listino Offerta'!$A$118:$AD$121,3,FALSE)*C73*(1+IF(E73="Si",('Listino Offerta'!$E$153-100)/100,0)+IF(G73="Si",('Listino Offerta'!$E$155-100)/100,0)),0)</f>
        <v>0</v>
      </c>
      <c r="W73" s="301">
        <f>IF(B73&lt;&gt;0,(VLOOKUP(B73,'Listino Offerta'!$A$118:$AD$121,4,FALSE)*C73+IF(D73&lt;&gt;0,VLOOKUP(CONCATENATE(B73,"-BR"),'Listino Offerta'!$A$147:$AD$150,4,FALSE)*D73,0))*(1+IF(E73="Si",('Listino Offerta'!$F$153-100)/100,0)+IF(F73="Si",('Listino Offerta'!$F$154-100)/100,0)+IF(G73="Si",('Listino Offerta'!$F$155-100)/100,0)),0)</f>
        <v>0</v>
      </c>
    </row>
    <row r="75" spans="1:22" ht="12">
      <c r="A75" s="458" t="s">
        <v>229</v>
      </c>
      <c r="B75" s="459"/>
      <c r="C75" s="459"/>
      <c r="D75" s="459"/>
      <c r="E75" s="459"/>
      <c r="F75" s="460"/>
      <c r="G75" s="454" t="s">
        <v>502</v>
      </c>
      <c r="H75" s="454"/>
      <c r="I75" s="454" t="s">
        <v>503</v>
      </c>
      <c r="J75" s="454"/>
      <c r="K75" s="454" t="s">
        <v>504</v>
      </c>
      <c r="L75" s="454"/>
      <c r="M75" s="454" t="s">
        <v>505</v>
      </c>
      <c r="N75" s="454"/>
      <c r="O75" s="454" t="s">
        <v>506</v>
      </c>
      <c r="P75" s="454"/>
      <c r="Q75" s="454" t="s">
        <v>507</v>
      </c>
      <c r="R75" s="454"/>
      <c r="S75" s="454" t="s">
        <v>508</v>
      </c>
      <c r="T75" s="454"/>
      <c r="U75" s="454" t="s">
        <v>521</v>
      </c>
      <c r="V75" s="454"/>
    </row>
    <row r="76" spans="1:22" s="305" customFormat="1" ht="62.25">
      <c r="A76" s="296" t="s">
        <v>217</v>
      </c>
      <c r="B76" s="305" t="s">
        <v>500</v>
      </c>
      <c r="C76" s="305" t="s">
        <v>228</v>
      </c>
      <c r="D76" s="305" t="s">
        <v>80</v>
      </c>
      <c r="E76" s="305" t="s">
        <v>23</v>
      </c>
      <c r="F76" s="296" t="s">
        <v>494</v>
      </c>
      <c r="G76" s="297" t="s">
        <v>27</v>
      </c>
      <c r="H76" s="297" t="s">
        <v>501</v>
      </c>
      <c r="I76" s="297" t="s">
        <v>27</v>
      </c>
      <c r="J76" s="297" t="s">
        <v>501</v>
      </c>
      <c r="K76" s="297" t="s">
        <v>27</v>
      </c>
      <c r="L76" s="297" t="s">
        <v>501</v>
      </c>
      <c r="M76" s="297" t="s">
        <v>27</v>
      </c>
      <c r="N76" s="297" t="s">
        <v>501</v>
      </c>
      <c r="O76" s="297" t="s">
        <v>27</v>
      </c>
      <c r="P76" s="297" t="s">
        <v>501</v>
      </c>
      <c r="Q76" s="297" t="s">
        <v>27</v>
      </c>
      <c r="R76" s="297" t="s">
        <v>501</v>
      </c>
      <c r="S76" s="297" t="s">
        <v>27</v>
      </c>
      <c r="T76" s="297" t="s">
        <v>501</v>
      </c>
      <c r="U76" s="297" t="s">
        <v>27</v>
      </c>
      <c r="V76" s="297" t="s">
        <v>501</v>
      </c>
    </row>
    <row r="77" spans="1:22" ht="12">
      <c r="A77" s="303">
        <f>'Servizi Com. Evoluta-Telepres.'!B6</f>
        <v>0</v>
      </c>
      <c r="B77" s="303">
        <f>IF(A77="ITEP-2 (Managed)",1,'Servizi Com. Evoluta-Telepres.'!C6)</f>
        <v>0</v>
      </c>
      <c r="C77" s="303">
        <f>'Servizi Com. Evoluta-Telepres.'!E6</f>
        <v>0</v>
      </c>
      <c r="D77" s="295">
        <f>IF(AND('Servizi Com. Evoluta-Telepres.'!$F$6="Si",'Servizi Com. Evoluta-Telepres.'!$G$6&lt;&gt;"Si"),"Si","")</f>
      </c>
      <c r="E77" s="295">
        <f>IF(AND('Servizi Com. Evoluta-Telepres.'!$F$6&lt;&gt;"Si",'Servizi Com. Evoluta-Telepres.'!$G$6="Si"),"Si","")</f>
      </c>
      <c r="F77" s="295">
        <f>IF(AND('Servizi Com. Evoluta-Telepres.'!$F$6="Si",'Servizi Com. Evoluta-Telepres.'!$G$6="Si"),"Si","")</f>
      </c>
      <c r="G77" s="301">
        <f>IF(A77="ITEP-2 (Managed)",Listini!C133*(1+IF(D77="Si",(Listini!E153-100)/100,0)+IF(F77="Si",(Listini!$E$155-100)/100,0)),IF(OR(A77="ITEP-1HD",A77="ITEP-1SD"),VLOOKUP(A77,Listini!$A$131:$AD$132,3,FALSE)*B77+Listini!$C$151*'Riepilogo Fabbisogni'!C77,0))</f>
        <v>0</v>
      </c>
      <c r="H77" s="301">
        <f>IF(A77="ITEP-2 (Managed)",(Listini!D133+IF('Servizi Com. Evoluta-Telepres.'!$D$6="Si",Listini!D152,0))*(1+IF(D77="Si",(Listini!F153-100)/100,0)+IF(E77="Si",(Listini!F154-100)/100,0)+IF(F77="Si",(Listini!$E$155-100)/100,0)),0)</f>
        <v>0</v>
      </c>
      <c r="I77" s="301">
        <f>IF(A77="ITEP-2 (Managed)",Listini!G133*(1+IF(D77="Si",(Listini!I153-100)/100,0)+IF(F77="Si",(Listini!$I$155-100)/100,0)),IF(OR(A77="ITEP-1HD",A77="ITEP-1SD"),VLOOKUP(A77,Listini!$A$131:$AD$132,7,FALSE)*B77+Listini!$G$151*'Riepilogo Fabbisogni'!C77,0))</f>
        <v>0</v>
      </c>
      <c r="J77" s="301">
        <f>IF(A77="ITEP-2 (Managed)",(Listini!H133+IF('Servizi Com. Evoluta-Telepres.'!$D$6="Si",Listini!H152,0))*(1+IF(D77="Si",(Listini!J153-100)/100,0)+IF(E77="Si",(Listini!J154-100)/100,0)+IF(F77="Si",(Listini!$I$155-100)/100,0)),0)</f>
        <v>0</v>
      </c>
      <c r="K77" s="301">
        <f>IF(A77="ITEP-2 (Managed)",Listini!K133*(1+IF(D77="Si",(Listini!M153-100)/100,0)+IF(F77="Si",(Listini!$M$155-100)/100,0)),IF(OR(A77="ITEP-1HD",A77="ITEP-1SD"),VLOOKUP(A77,Listini!$A$131:$AD$132,11,FALSE)*B77+Listini!$K$151*'Riepilogo Fabbisogni'!C77,0))</f>
        <v>0</v>
      </c>
      <c r="L77" s="301">
        <f>IF(A77="ITEP-2 (Managed)",(Listini!L133+IF('Servizi Com. Evoluta-Telepres.'!$D$6="Si",Listini!L152,0))*(1+IF(D77="Si",(Listini!N153-100)/100,0)+IF(E77="Si",(Listini!N154-100)/100,0)+IF(F77="Si",(Listini!$M$155-100)/100,0)),0)</f>
        <v>0</v>
      </c>
      <c r="M77" s="301">
        <f>IF(A77="ITEP-2 (Managed)",Listini!O133*(1+IF(D77="Si",(Listini!Q153-100)/100,0)+IF(F77="Si",(Listini!$Q$155-100)/100,0)),IF(OR(A77="ITEP-1HD",A77="ITEP-1SD"),VLOOKUP(A77,Listini!$A$131:$AD$132,15,FALSE)*B77+Listini!$O$151*'Riepilogo Fabbisogni'!C77,0))</f>
        <v>0</v>
      </c>
      <c r="N77" s="301">
        <f>IF(A77="ITEP-2 (Managed)",(Listini!P133+IF('Servizi Com. Evoluta-Telepres.'!$D$6="Si",Listini!P152,0))*(1+IF(D77="Si",(Listini!R153-100)/100,0)+IF(E77="Si",(Listini!R154-100)/100,0)+IF(F77="Si",(Listini!$Q$155-100)/100,0)),0)</f>
        <v>0</v>
      </c>
      <c r="O77" s="301">
        <f>IF(A77="ITEP-2 (Managed)",Listini!S133*(1+IF(D77="Si",(Listini!U153-100)/100,0)+IF(F77="Si",(Listini!$U$155-100)/100,0)),IF(OR(A77="ITEP-1HD",A77="ITEP-1SD"),VLOOKUP(A77,Listini!$A$131:$AD$132,19,FALSE)*B77+Listini!$S$151*'Riepilogo Fabbisogni'!C77,0))</f>
        <v>0</v>
      </c>
      <c r="P77" s="301">
        <f>IF(A77="ITEP-2 (Managed)",(Listini!T133+IF('Servizi Com. Evoluta-Telepres.'!$D$6="Si",Listini!T152,0))*(1+IF(D77="Si",(Listini!V153-100)/100,0)+IF(E77="Si",(Listini!V154-100)/100,0)+IF(F77="Si",(Listini!$U$155-100)/100,0)),0)</f>
        <v>0</v>
      </c>
      <c r="Q77" s="301">
        <f>IF(A77="ITEP-2 (Managed)",Listini!W133*(1+IF(D77="Si",(Listini!Y153-100)/100,0)+IF(F77="Si",(Listini!$Y$155-100)/100,0)),IF(OR(A77="ITEP-1HD",A77="ITEP-1SD"),VLOOKUP(A77,Listini!$A$131:$AD$132,23,FALSE)*B77+Listini!$W$151*'Riepilogo Fabbisogni'!C77,0))</f>
        <v>0</v>
      </c>
      <c r="R77" s="301">
        <f>IF(A77="ITEP-2 (Managed)",(Listini!X133+IF('Servizi Com. Evoluta-Telepres.'!$D$6="Si",Listini!X152,0))*(1+IF(D77="Si",(Listini!Z153-100)/100,0)+IF(E77="Si",(Listini!Z154-100)/100,0)+IF(F77="Si",(Listini!$Y$155-100)/100,0)),0)</f>
        <v>0</v>
      </c>
      <c r="S77" s="301">
        <f>IF(A77="ITEP-2 (Managed)",Listini!AA133*(1+IF(D77="Si",(Listini!AC153-100)/100,0)+IF(F77="Si",(Listini!$AC$155-100)/100,0)),IF(OR(A77="ITEP-1HD",A77="ITEP-1SD"),VLOOKUP(A77,Listini!$A$131:$AD$132,27,FALSE)*B77+Listini!$AA$151*'Riepilogo Fabbisogni'!C77,0))</f>
        <v>0</v>
      </c>
      <c r="T77" s="301">
        <f>IF(A77="ITEP-2 (Managed)",(Listini!AB133+IF('Servizi Com. Evoluta-Telepres.'!$D$6="Si",Listini!AB152,0))*(1+IF(D77="Si",(Listini!AD153-100)/100,0)+IF(E77="Si",(Listini!AD154-100)/100,0)+IF(F77="Si",(Listini!$AC$155-100)/100,0)),0)</f>
        <v>0</v>
      </c>
      <c r="U77" s="303">
        <f>IF(A77="ITEP-2 (Managed)",'Listino Offerta'!C133*(1+IF(D77="Si",('Listino Offerta'!E153-100)/100,0)+IF(F77="Si",('Listino Offerta'!$E$155-100)/100,0)),IF(OR(A77="ITEP-1HD",A77="ITEP-1SD"),VLOOKUP(A77,'Listino Offerta'!$A$131:$AD$132,3,FALSE)*B77+'Listino Offerta'!$C$151*'Riepilogo Fabbisogni'!C77,0))</f>
        <v>0</v>
      </c>
      <c r="V77" s="303">
        <f>IF(A77="ITEP-2 (Managed)",('Listino Offerta'!D133+IF('Servizi Com. Evoluta-Telepres.'!$D$6="Si",'Listino Offerta'!D152,0))*(1+IF(D77="Si",('Listino Offerta'!F153-100)/100,0)+IF(E77="Si",('Listino Offerta'!F154-100)/100,0)+IF(F77="Si",('Listino Offerta'!$E$155-100)/100,0)),0)</f>
        <v>0</v>
      </c>
    </row>
    <row r="79" spans="1:19" ht="37.5" customHeight="1">
      <c r="A79" s="461" t="s">
        <v>230</v>
      </c>
      <c r="B79" s="462"/>
      <c r="C79" s="309"/>
      <c r="D79" s="454" t="s">
        <v>502</v>
      </c>
      <c r="E79" s="454"/>
      <c r="F79" s="454" t="s">
        <v>503</v>
      </c>
      <c r="G79" s="454"/>
      <c r="H79" s="454" t="s">
        <v>504</v>
      </c>
      <c r="I79" s="454"/>
      <c r="J79" s="454" t="s">
        <v>505</v>
      </c>
      <c r="K79" s="454"/>
      <c r="L79" s="454" t="s">
        <v>506</v>
      </c>
      <c r="M79" s="454"/>
      <c r="N79" s="454" t="s">
        <v>507</v>
      </c>
      <c r="O79" s="454"/>
      <c r="P79" s="454" t="s">
        <v>508</v>
      </c>
      <c r="Q79" s="454"/>
      <c r="R79" s="454" t="s">
        <v>521</v>
      </c>
      <c r="S79" s="454"/>
    </row>
    <row r="80" spans="1:19" s="305" customFormat="1" ht="49.5">
      <c r="A80" s="296" t="s">
        <v>217</v>
      </c>
      <c r="B80" s="305" t="s">
        <v>227</v>
      </c>
      <c r="C80" s="305" t="s">
        <v>23</v>
      </c>
      <c r="D80" s="297" t="s">
        <v>27</v>
      </c>
      <c r="E80" s="297" t="s">
        <v>501</v>
      </c>
      <c r="F80" s="297" t="s">
        <v>27</v>
      </c>
      <c r="G80" s="297" t="s">
        <v>501</v>
      </c>
      <c r="H80" s="297" t="s">
        <v>27</v>
      </c>
      <c r="I80" s="297" t="s">
        <v>501</v>
      </c>
      <c r="J80" s="297" t="s">
        <v>27</v>
      </c>
      <c r="K80" s="297" t="s">
        <v>501</v>
      </c>
      <c r="L80" s="297" t="s">
        <v>27</v>
      </c>
      <c r="M80" s="297" t="s">
        <v>501</v>
      </c>
      <c r="N80" s="297" t="s">
        <v>27</v>
      </c>
      <c r="O80" s="297" t="s">
        <v>501</v>
      </c>
      <c r="P80" s="297" t="s">
        <v>27</v>
      </c>
      <c r="Q80" s="297" t="s">
        <v>501</v>
      </c>
      <c r="R80" s="297" t="s">
        <v>27</v>
      </c>
      <c r="S80" s="297" t="s">
        <v>501</v>
      </c>
    </row>
    <row r="81" spans="1:19" ht="12">
      <c r="A81" s="296" t="str">
        <f>'Servizi Com. Evoluta-Telepres.'!B13</f>
        <v>ETEP-1</v>
      </c>
      <c r="B81" s="296">
        <f>'Servizi Com. Evoluta-Telepres.'!C13</f>
        <v>0</v>
      </c>
      <c r="C81" s="296">
        <f>'Servizi Com. Evoluta-Telepres.'!D13</f>
        <v>0</v>
      </c>
      <c r="D81" s="303">
        <f>Listini!C134*'Riepilogo Fabbisogni'!B81</f>
        <v>0</v>
      </c>
      <c r="E81" s="303">
        <f>Listini!D134*'Riepilogo Fabbisogni'!B81*(1+IF(C81="Si",(Listini!$F$154-100)/100,0))</f>
        <v>0</v>
      </c>
      <c r="F81" s="303">
        <f>Listini!G134*'Riepilogo Fabbisogni'!B81</f>
        <v>0</v>
      </c>
      <c r="G81" s="303">
        <f>Listini!H134*'Riepilogo Fabbisogni'!B81*(1+IF(C81="Si",(Listini!$J$154-100)/100,0))</f>
        <v>0</v>
      </c>
      <c r="H81" s="303">
        <f>Listini!K134*'Riepilogo Fabbisogni'!B81</f>
        <v>0</v>
      </c>
      <c r="I81" s="303">
        <f>Listini!L134*'Riepilogo Fabbisogni'!B81*(1+IF(C81="Si",(Listini!$N$154-100)/100,0))</f>
        <v>0</v>
      </c>
      <c r="J81" s="303">
        <f>Listini!O134*'Riepilogo Fabbisogni'!B81</f>
        <v>0</v>
      </c>
      <c r="K81" s="303">
        <f>Listini!P134*'Riepilogo Fabbisogni'!B81*(1+IF(C81="Si",(Listini!$R$154-100)/100,0))</f>
        <v>0</v>
      </c>
      <c r="L81" s="303">
        <f>Listini!S134*'Riepilogo Fabbisogni'!B81</f>
        <v>0</v>
      </c>
      <c r="M81" s="303">
        <f>Listini!T134*'Riepilogo Fabbisogni'!B81*(1+IF(C81="Si",(Listini!$V$154-100)/100,0))</f>
        <v>0</v>
      </c>
      <c r="N81" s="303">
        <f>Listini!W134*'Riepilogo Fabbisogni'!B81</f>
        <v>0</v>
      </c>
      <c r="O81" s="303">
        <f>Listini!X134*'Riepilogo Fabbisogni'!B81*(1+IF(C81="Si",(Listini!$Z$154-100)/100,0))</f>
        <v>0</v>
      </c>
      <c r="P81" s="303">
        <f>Listini!AA134*'Riepilogo Fabbisogni'!B81</f>
        <v>0</v>
      </c>
      <c r="Q81" s="303">
        <f>Listini!AB134*'Riepilogo Fabbisogni'!B81*(1+IF(C81="Si",(Listini!$AD$154-100)/100,0))</f>
        <v>0</v>
      </c>
      <c r="R81" s="303">
        <f>'Listino Offerta'!C134*'Riepilogo Fabbisogni'!B81</f>
        <v>0</v>
      </c>
      <c r="S81" s="303">
        <f>'Listino Offerta'!D134*'Riepilogo Fabbisogni'!B81*(1+IF(C81="Si",('Listino Offerta'!$F$154-100)/100,0))</f>
        <v>0</v>
      </c>
    </row>
    <row r="82" spans="1:19" ht="12">
      <c r="A82" s="296" t="str">
        <f>'Servizi Com. Evoluta-Telepres.'!B14</f>
        <v>ETEP-2</v>
      </c>
      <c r="B82" s="296">
        <f>'Servizi Com. Evoluta-Telepres.'!C14</f>
        <v>0</v>
      </c>
      <c r="C82" s="296">
        <f>'Servizi Com. Evoluta-Telepres.'!D14</f>
        <v>0</v>
      </c>
      <c r="D82" s="303">
        <f>Listini!C135*'Riepilogo Fabbisogni'!B82</f>
        <v>0</v>
      </c>
      <c r="E82" s="303">
        <f>Listini!D135*'Riepilogo Fabbisogni'!B82*(1+IF(C82="Si",(Listini!$F$154-100)/100,0))</f>
        <v>0</v>
      </c>
      <c r="F82" s="303">
        <f>Listini!G135*'Riepilogo Fabbisogni'!B82</f>
        <v>0</v>
      </c>
      <c r="G82" s="303">
        <f>Listini!H135*'Riepilogo Fabbisogni'!B82*(1+IF(C82="Si",(Listini!$J$154-100)/100,0))</f>
        <v>0</v>
      </c>
      <c r="H82" s="303">
        <f>Listini!K135*'Riepilogo Fabbisogni'!B82</f>
        <v>0</v>
      </c>
      <c r="I82" s="303">
        <f>Listini!L135*'Riepilogo Fabbisogni'!B82*(1+IF(C82="Si",(Listini!$N$154-100)/100,0))</f>
        <v>0</v>
      </c>
      <c r="J82" s="303">
        <f>Listini!O135*'Riepilogo Fabbisogni'!B82</f>
        <v>0</v>
      </c>
      <c r="K82" s="303">
        <f>Listini!P135*'Riepilogo Fabbisogni'!B82*(1+IF(C82="Si",(Listini!$R$154-100)/100,0))</f>
        <v>0</v>
      </c>
      <c r="L82" s="303">
        <f>Listini!S135*'Riepilogo Fabbisogni'!B82</f>
        <v>0</v>
      </c>
      <c r="M82" s="303">
        <f>Listini!T135*'Riepilogo Fabbisogni'!B82*(1+IF(C82="Si",(Listini!$V$154-100)/100,0))</f>
        <v>0</v>
      </c>
      <c r="N82" s="303">
        <f>Listini!W135*'Riepilogo Fabbisogni'!B82</f>
        <v>0</v>
      </c>
      <c r="O82" s="303">
        <f>Listini!X135*'Riepilogo Fabbisogni'!B82*(1+IF(C82="Si",(Listini!$Z$154-100)/100,0))</f>
        <v>0</v>
      </c>
      <c r="P82" s="303">
        <f>Listini!AA135*'Riepilogo Fabbisogni'!B82</f>
        <v>0</v>
      </c>
      <c r="Q82" s="303">
        <f>Listini!AB135*'Riepilogo Fabbisogni'!B82*(1+IF(C82="Si",(Listini!$AD$154-100)/100,0))</f>
        <v>0</v>
      </c>
      <c r="R82" s="303">
        <f>'Listino Offerta'!C135*'Riepilogo Fabbisogni'!B82</f>
        <v>0</v>
      </c>
      <c r="S82" s="303">
        <f>'Listino Offerta'!D135*'Riepilogo Fabbisogni'!B82*(1+IF(C82="Si",('Listino Offerta'!$F$154-100)/100,0))</f>
        <v>0</v>
      </c>
    </row>
    <row r="83" spans="1:19" ht="12">
      <c r="A83" s="296" t="str">
        <f>'Servizi Com. Evoluta-Telepres.'!B15</f>
        <v>ETEP-3</v>
      </c>
      <c r="B83" s="296">
        <f>'Servizi Com. Evoluta-Telepres.'!C15</f>
        <v>0</v>
      </c>
      <c r="C83" s="296">
        <f>'Servizi Com. Evoluta-Telepres.'!D15</f>
        <v>0</v>
      </c>
      <c r="D83" s="303">
        <f>Listini!C136*'Riepilogo Fabbisogni'!B83</f>
        <v>0</v>
      </c>
      <c r="E83" s="303">
        <f>Listini!D136*'Riepilogo Fabbisogni'!B83*(1+IF(C83="Si",(Listini!$F$154-100)/100,0))</f>
        <v>0</v>
      </c>
      <c r="F83" s="303">
        <f>Listini!G136*'Riepilogo Fabbisogni'!B83</f>
        <v>0</v>
      </c>
      <c r="G83" s="303">
        <f>Listini!H136*'Riepilogo Fabbisogni'!B83*(1+IF(C83="Si",(Listini!$J$154-100)/100,0))</f>
        <v>0</v>
      </c>
      <c r="H83" s="303">
        <f>Listini!K136*'Riepilogo Fabbisogni'!B83</f>
        <v>0</v>
      </c>
      <c r="I83" s="303">
        <f>Listini!L136*'Riepilogo Fabbisogni'!B83*(1+IF(C83="Si",(Listini!$N$154-100)/100,0))</f>
        <v>0</v>
      </c>
      <c r="J83" s="303">
        <f>Listini!O136*'Riepilogo Fabbisogni'!B83</f>
        <v>0</v>
      </c>
      <c r="K83" s="303">
        <f>Listini!P136*'Riepilogo Fabbisogni'!B83*(1+IF(C83="Si",(Listini!$R$154-100)/100,0))</f>
        <v>0</v>
      </c>
      <c r="L83" s="303">
        <f>Listini!S136*'Riepilogo Fabbisogni'!B83</f>
        <v>0</v>
      </c>
      <c r="M83" s="303">
        <f>Listini!T136*'Riepilogo Fabbisogni'!B83*(1+IF(C83="Si",(Listini!$V$154-100)/100,0))</f>
        <v>0</v>
      </c>
      <c r="N83" s="303">
        <f>Listini!W136*'Riepilogo Fabbisogni'!B83</f>
        <v>0</v>
      </c>
      <c r="O83" s="303">
        <f>Listini!X136*'Riepilogo Fabbisogni'!B83*(1+IF(C83="Si",(Listini!$Z$154-100)/100,0))</f>
        <v>0</v>
      </c>
      <c r="P83" s="303">
        <f>Listini!AA136*'Riepilogo Fabbisogni'!B83</f>
        <v>0</v>
      </c>
      <c r="Q83" s="303">
        <f>Listini!AB136*'Riepilogo Fabbisogni'!B83*(1+IF(C83="Si",(Listini!$AD$154-100)/100,0))</f>
        <v>0</v>
      </c>
      <c r="R83" s="303">
        <f>'Listino Offerta'!C136*'Riepilogo Fabbisogni'!B83</f>
        <v>0</v>
      </c>
      <c r="S83" s="303">
        <f>'Listino Offerta'!D136*'Riepilogo Fabbisogni'!B83*(1+IF(C83="Si",('Listino Offerta'!$F$154-100)/100,0))</f>
        <v>0</v>
      </c>
    </row>
    <row r="84" spans="1:19" ht="12">
      <c r="A84" s="296" t="str">
        <f>'Servizi Com. Evoluta-Telepres.'!B16</f>
        <v>ETEP-4</v>
      </c>
      <c r="B84" s="296">
        <f>'Servizi Com. Evoluta-Telepres.'!C16</f>
        <v>0</v>
      </c>
      <c r="C84" s="296">
        <f>'Servizi Com. Evoluta-Telepres.'!D16</f>
        <v>0</v>
      </c>
      <c r="D84" s="303">
        <f>Listini!C137*'Riepilogo Fabbisogni'!B84</f>
        <v>0</v>
      </c>
      <c r="E84" s="303">
        <f>Listini!D137*'Riepilogo Fabbisogni'!B84*(1+IF(C84="Si",(Listini!$F$154-100)/100,0))</f>
        <v>0</v>
      </c>
      <c r="F84" s="303">
        <f>Listini!G137*'Riepilogo Fabbisogni'!B84</f>
        <v>0</v>
      </c>
      <c r="G84" s="303">
        <f>Listini!H137*'Riepilogo Fabbisogni'!B84*(1+IF(C84="Si",(Listini!$J$154-100)/100,0))</f>
        <v>0</v>
      </c>
      <c r="H84" s="303">
        <f>Listini!K137*'Riepilogo Fabbisogni'!B84</f>
        <v>0</v>
      </c>
      <c r="I84" s="303">
        <f>Listini!L137*'Riepilogo Fabbisogni'!B84*(1+IF(C84="Si",(Listini!$N$154-100)/100,0))</f>
        <v>0</v>
      </c>
      <c r="J84" s="303">
        <f>Listini!O137*'Riepilogo Fabbisogni'!B84</f>
        <v>0</v>
      </c>
      <c r="K84" s="303">
        <f>Listini!P137*'Riepilogo Fabbisogni'!B84*(1+IF(C84="Si",(Listini!$R$154-100)/100,0))</f>
        <v>0</v>
      </c>
      <c r="L84" s="303">
        <f>Listini!S137*'Riepilogo Fabbisogni'!B84</f>
        <v>0</v>
      </c>
      <c r="M84" s="303">
        <f>Listini!T137*'Riepilogo Fabbisogni'!B84*(1+IF(C84="Si",(Listini!$V$154-100)/100,0))</f>
        <v>0</v>
      </c>
      <c r="N84" s="303">
        <f>Listini!W137*'Riepilogo Fabbisogni'!B84</f>
        <v>0</v>
      </c>
      <c r="O84" s="303">
        <f>Listini!X137*'Riepilogo Fabbisogni'!B84*(1+IF(C84="Si",(Listini!$Z$154-100)/100,0))</f>
        <v>0</v>
      </c>
      <c r="P84" s="303">
        <f>Listini!AA137*'Riepilogo Fabbisogni'!B84</f>
        <v>0</v>
      </c>
      <c r="Q84" s="303">
        <f>Listini!AB137*'Riepilogo Fabbisogni'!B84*(1+IF(C84="Si",(Listini!$AD$154-100)/100,0))</f>
        <v>0</v>
      </c>
      <c r="R84" s="303">
        <f>'Listino Offerta'!C137*'Riepilogo Fabbisogni'!B84</f>
        <v>0</v>
      </c>
      <c r="S84" s="303">
        <f>'Listino Offerta'!D137*'Riepilogo Fabbisogni'!B84*(1+IF(C84="Si",('Listino Offerta'!$F$154-100)/100,0))</f>
        <v>0</v>
      </c>
    </row>
    <row r="85" spans="1:19" ht="12">
      <c r="A85" s="296" t="str">
        <f>'Servizi Com. Evoluta-Telepres.'!B17</f>
        <v>ETEP-5</v>
      </c>
      <c r="B85" s="296">
        <f>'Servizi Com. Evoluta-Telepres.'!C17</f>
        <v>0</v>
      </c>
      <c r="C85" s="296">
        <f>'Servizi Com. Evoluta-Telepres.'!D17</f>
        <v>0</v>
      </c>
      <c r="D85" s="303">
        <f>Listini!C138*'Riepilogo Fabbisogni'!B85</f>
        <v>0</v>
      </c>
      <c r="E85" s="303">
        <f>Listini!D138*'Riepilogo Fabbisogni'!B85*(1+IF(C85="Si",(Listini!$F$154-100)/100,0))</f>
        <v>0</v>
      </c>
      <c r="F85" s="303">
        <f>Listini!G138*'Riepilogo Fabbisogni'!B85</f>
        <v>0</v>
      </c>
      <c r="G85" s="303">
        <f>Listini!H138*'Riepilogo Fabbisogni'!B85*(1+IF(C85="Si",(Listini!$J$154-100)/100,0))</f>
        <v>0</v>
      </c>
      <c r="H85" s="303">
        <f>Listini!K138*'Riepilogo Fabbisogni'!B85</f>
        <v>0</v>
      </c>
      <c r="I85" s="303">
        <f>Listini!L138*'Riepilogo Fabbisogni'!B85*(1+IF(C85="Si",(Listini!$N$154-100)/100,0))</f>
        <v>0</v>
      </c>
      <c r="J85" s="303">
        <f>Listini!O138*'Riepilogo Fabbisogni'!B85</f>
        <v>0</v>
      </c>
      <c r="K85" s="303">
        <f>Listini!P138*'Riepilogo Fabbisogni'!B85*(1+IF(C85="Si",(Listini!$R$154-100)/100,0))</f>
        <v>0</v>
      </c>
      <c r="L85" s="303">
        <f>Listini!S138*'Riepilogo Fabbisogni'!B85</f>
        <v>0</v>
      </c>
      <c r="M85" s="303">
        <f>Listini!T138*'Riepilogo Fabbisogni'!B85*(1+IF(C85="Si",(Listini!$V$154-100)/100,0))</f>
        <v>0</v>
      </c>
      <c r="N85" s="303">
        <f>Listini!W138*'Riepilogo Fabbisogni'!B85</f>
        <v>0</v>
      </c>
      <c r="O85" s="303">
        <f>Listini!X138*'Riepilogo Fabbisogni'!B85*(1+IF(C85="Si",(Listini!$Z$154-100)/100,0))</f>
        <v>0</v>
      </c>
      <c r="P85" s="303">
        <f>Listini!AA138*'Riepilogo Fabbisogni'!B85</f>
        <v>0</v>
      </c>
      <c r="Q85" s="303">
        <f>Listini!AB138*'Riepilogo Fabbisogni'!B85*(1+IF(C85="Si",(Listini!$AD$154-100)/100,0))</f>
        <v>0</v>
      </c>
      <c r="R85" s="303">
        <f>'Listino Offerta'!C138*'Riepilogo Fabbisogni'!B85</f>
        <v>0</v>
      </c>
      <c r="S85" s="303">
        <f>'Listino Offerta'!D138*'Riepilogo Fabbisogni'!B85*(1+IF(C85="Si",('Listino Offerta'!$F$154-100)/100,0))</f>
        <v>0</v>
      </c>
    </row>
    <row r="87" spans="1:11" ht="12">
      <c r="A87" s="455" t="s">
        <v>231</v>
      </c>
      <c r="B87" s="456"/>
      <c r="C87" s="303" t="s">
        <v>502</v>
      </c>
      <c r="D87" s="297" t="s">
        <v>503</v>
      </c>
      <c r="E87" s="303" t="s">
        <v>504</v>
      </c>
      <c r="F87" s="303" t="s">
        <v>505</v>
      </c>
      <c r="G87" s="303" t="s">
        <v>506</v>
      </c>
      <c r="H87" s="303" t="s">
        <v>507</v>
      </c>
      <c r="I87" s="303" t="s">
        <v>508</v>
      </c>
      <c r="J87" s="292" t="s">
        <v>521</v>
      </c>
      <c r="K87" s="310"/>
    </row>
    <row r="88" spans="1:11" ht="37.5">
      <c r="A88" s="296" t="s">
        <v>217</v>
      </c>
      <c r="B88" s="303" t="s">
        <v>227</v>
      </c>
      <c r="C88" s="297" t="s">
        <v>27</v>
      </c>
      <c r="D88" s="297" t="s">
        <v>27</v>
      </c>
      <c r="E88" s="297" t="s">
        <v>27</v>
      </c>
      <c r="F88" s="297" t="s">
        <v>27</v>
      </c>
      <c r="G88" s="297" t="s">
        <v>27</v>
      </c>
      <c r="H88" s="297" t="s">
        <v>27</v>
      </c>
      <c r="I88" s="297" t="s">
        <v>27</v>
      </c>
      <c r="J88" s="297" t="s">
        <v>27</v>
      </c>
      <c r="K88" s="297"/>
    </row>
    <row r="89" spans="1:10" ht="12">
      <c r="A89" s="303" t="s">
        <v>158</v>
      </c>
      <c r="B89" s="303">
        <f>'Servizi di Supp. Professionale'!D4</f>
        <v>0</v>
      </c>
      <c r="C89" s="303">
        <f>B89*Listini!C156</f>
        <v>0</v>
      </c>
      <c r="D89" s="303">
        <f>B89*Listini!G156</f>
        <v>0</v>
      </c>
      <c r="E89" s="303">
        <f>B89*Listini!K156</f>
        <v>0</v>
      </c>
      <c r="F89" s="303">
        <f>B89*Listini!O156</f>
        <v>0</v>
      </c>
      <c r="G89" s="303">
        <f>B89*Listini!S156</f>
        <v>0</v>
      </c>
      <c r="H89" s="303">
        <f>B89*Listini!W156</f>
        <v>0</v>
      </c>
      <c r="I89" s="303">
        <f>B89*Listini!AA156</f>
        <v>0</v>
      </c>
      <c r="J89" s="303">
        <f>B89*'Listino Offerta'!C156</f>
        <v>0</v>
      </c>
    </row>
    <row r="90" spans="1:10" ht="12">
      <c r="A90" s="303" t="s">
        <v>160</v>
      </c>
      <c r="B90" s="303">
        <f>'Servizi di Supp. Professionale'!D5</f>
        <v>0</v>
      </c>
      <c r="C90" s="303">
        <f>B90*Listini!C157</f>
        <v>0</v>
      </c>
      <c r="D90" s="303">
        <f>B90*Listini!G157</f>
        <v>0</v>
      </c>
      <c r="E90" s="303">
        <f>B90*Listini!K157</f>
        <v>0</v>
      </c>
      <c r="F90" s="303">
        <f>B90*Listini!O157</f>
        <v>0</v>
      </c>
      <c r="G90" s="303">
        <f>B90*Listini!S157</f>
        <v>0</v>
      </c>
      <c r="H90" s="303">
        <f>B90*Listini!W157</f>
        <v>0</v>
      </c>
      <c r="I90" s="303">
        <f>B90*Listini!AA157</f>
        <v>0</v>
      </c>
      <c r="J90" s="303">
        <f>B90*'Listino Offerta'!C157</f>
        <v>0</v>
      </c>
    </row>
    <row r="91" spans="1:10" ht="12">
      <c r="A91" s="303" t="s">
        <v>162</v>
      </c>
      <c r="B91" s="303">
        <f>'Servizi di Supp. Professionale'!D6</f>
        <v>0</v>
      </c>
      <c r="C91" s="303">
        <f>B91*Listini!C158</f>
        <v>0</v>
      </c>
      <c r="D91" s="303">
        <f>B91*Listini!G158</f>
        <v>0</v>
      </c>
      <c r="E91" s="303">
        <f>B91*Listini!K158</f>
        <v>0</v>
      </c>
      <c r="F91" s="303">
        <f>B91*Listini!O158</f>
        <v>0</v>
      </c>
      <c r="G91" s="303">
        <f>B91*Listini!S158</f>
        <v>0</v>
      </c>
      <c r="H91" s="303">
        <f>B91*Listini!W158</f>
        <v>0</v>
      </c>
      <c r="I91" s="303">
        <f>B91*Listini!AA158</f>
        <v>0</v>
      </c>
      <c r="J91" s="303">
        <f>B91*'Listino Offerta'!C158</f>
        <v>0</v>
      </c>
    </row>
    <row r="92" spans="1:10" ht="12">
      <c r="A92" s="303" t="s">
        <v>164</v>
      </c>
      <c r="B92" s="303">
        <f>'Servizi di Supp. Professionale'!D7</f>
        <v>0</v>
      </c>
      <c r="C92" s="303">
        <f>B92*Listini!C159</f>
        <v>0</v>
      </c>
      <c r="D92" s="303">
        <f>B92*Listini!G159</f>
        <v>0</v>
      </c>
      <c r="E92" s="303">
        <f>B92*Listini!K159</f>
        <v>0</v>
      </c>
      <c r="F92" s="303">
        <f>B92*Listini!O159</f>
        <v>0</v>
      </c>
      <c r="G92" s="303">
        <f>B92*Listini!S159</f>
        <v>0</v>
      </c>
      <c r="H92" s="303">
        <f>B92*Listini!W159</f>
        <v>0</v>
      </c>
      <c r="I92" s="303">
        <f>B92*Listini!AA159</f>
        <v>0</v>
      </c>
      <c r="J92" s="303">
        <f>B92*'Listino Offerta'!C159</f>
        <v>0</v>
      </c>
    </row>
    <row r="93" spans="1:10" ht="12">
      <c r="A93" s="303" t="s">
        <v>166</v>
      </c>
      <c r="B93" s="303">
        <f>'Servizi di Supp. Professionale'!D8</f>
        <v>0</v>
      </c>
      <c r="C93" s="303">
        <f>B93*Listini!C160</f>
        <v>0</v>
      </c>
      <c r="D93" s="303">
        <f>B93*Listini!G160</f>
        <v>0</v>
      </c>
      <c r="E93" s="303">
        <f>B93*Listini!K160</f>
        <v>0</v>
      </c>
      <c r="F93" s="303">
        <f>B93*Listini!O160</f>
        <v>0</v>
      </c>
      <c r="G93" s="303">
        <f>B93*Listini!S160</f>
        <v>0</v>
      </c>
      <c r="H93" s="303">
        <f>B93*Listini!W160</f>
        <v>0</v>
      </c>
      <c r="I93" s="303">
        <f>B93*Listini!AA160</f>
        <v>0</v>
      </c>
      <c r="J93" s="303">
        <f>B93*'Listino Offerta'!C160</f>
        <v>0</v>
      </c>
    </row>
    <row r="94" spans="1:10" ht="12">
      <c r="A94" s="303" t="s">
        <v>168</v>
      </c>
      <c r="B94" s="303">
        <f>'Servizi di Supp. Professionale'!D9</f>
        <v>0</v>
      </c>
      <c r="C94" s="303">
        <f>B94*Listini!C161</f>
        <v>0</v>
      </c>
      <c r="D94" s="303">
        <f>B94*Listini!G161</f>
        <v>0</v>
      </c>
      <c r="E94" s="303">
        <f>B94*Listini!K161</f>
        <v>0</v>
      </c>
      <c r="F94" s="303">
        <f>B94*Listini!O161</f>
        <v>0</v>
      </c>
      <c r="G94" s="303">
        <f>B94*Listini!S161</f>
        <v>0</v>
      </c>
      <c r="H94" s="303">
        <f>B94*Listini!W161</f>
        <v>0</v>
      </c>
      <c r="I94" s="303">
        <f>B94*Listini!AA161</f>
        <v>0</v>
      </c>
      <c r="J94" s="303">
        <f>B94*'Listino Offerta'!C161</f>
        <v>0</v>
      </c>
    </row>
    <row r="95" spans="1:10" ht="12">
      <c r="A95" s="303" t="s">
        <v>170</v>
      </c>
      <c r="B95" s="303">
        <f>'Servizi di Supp. Professionale'!D10</f>
        <v>0</v>
      </c>
      <c r="C95" s="303">
        <f>B95*Listini!C162</f>
        <v>0</v>
      </c>
      <c r="D95" s="303">
        <f>B95*Listini!G162</f>
        <v>0</v>
      </c>
      <c r="E95" s="303">
        <f>B95*Listini!K162</f>
        <v>0</v>
      </c>
      <c r="F95" s="303">
        <f>B95*Listini!O162</f>
        <v>0</v>
      </c>
      <c r="G95" s="303">
        <f>B95*Listini!S162</f>
        <v>0</v>
      </c>
      <c r="H95" s="303">
        <f>B95*Listini!W162</f>
        <v>0</v>
      </c>
      <c r="I95" s="303">
        <f>B95*Listini!AA162</f>
        <v>0</v>
      </c>
      <c r="J95" s="303">
        <f>B95*'Listino Offerta'!C162</f>
        <v>0</v>
      </c>
    </row>
    <row r="96" spans="1:10" ht="12">
      <c r="A96" s="303" t="s">
        <v>172</v>
      </c>
      <c r="B96" s="303">
        <f>'Servizi di Supp. Professionale'!D11</f>
        <v>0</v>
      </c>
      <c r="C96" s="303">
        <f>B96*Listini!C163</f>
        <v>0</v>
      </c>
      <c r="D96" s="303">
        <f>B96*Listini!G163</f>
        <v>0</v>
      </c>
      <c r="E96" s="303">
        <f>B96*Listini!K163</f>
        <v>0</v>
      </c>
      <c r="F96" s="303">
        <f>B96*Listini!O163</f>
        <v>0</v>
      </c>
      <c r="G96" s="303">
        <f>B96*Listini!S163</f>
        <v>0</v>
      </c>
      <c r="H96" s="303">
        <f>B96*Listini!W163</f>
        <v>0</v>
      </c>
      <c r="I96" s="303">
        <f>B96*Listini!AA163</f>
        <v>0</v>
      </c>
      <c r="J96" s="303">
        <f>B96*'Listino Offerta'!C163</f>
        <v>0</v>
      </c>
    </row>
    <row r="97" spans="1:10" ht="12">
      <c r="A97" s="303" t="s">
        <v>174</v>
      </c>
      <c r="B97" s="303">
        <f>'Servizi di Supp. Professionale'!D12</f>
        <v>0</v>
      </c>
      <c r="C97" s="303">
        <f>B97*Listini!C164</f>
        <v>0</v>
      </c>
      <c r="D97" s="303">
        <f>B97*Listini!G164</f>
        <v>0</v>
      </c>
      <c r="E97" s="303">
        <f>B97*Listini!K164</f>
        <v>0</v>
      </c>
      <c r="F97" s="303">
        <f>B97*Listini!O164</f>
        <v>0</v>
      </c>
      <c r="G97" s="303">
        <f>B97*Listini!S164</f>
        <v>0</v>
      </c>
      <c r="H97" s="303">
        <f>B97*Listini!W164</f>
        <v>0</v>
      </c>
      <c r="I97" s="303">
        <f>B97*Listini!AA164</f>
        <v>0</v>
      </c>
      <c r="J97" s="303">
        <f>B97*'Listino Offerta'!C164</f>
        <v>0</v>
      </c>
    </row>
    <row r="98" spans="1:10" ht="12">
      <c r="A98" s="303" t="s">
        <v>176</v>
      </c>
      <c r="B98" s="303">
        <f>'Servizi di Supp. Professionale'!D13</f>
        <v>0</v>
      </c>
      <c r="C98" s="303">
        <f>B98*Listini!C165</f>
        <v>0</v>
      </c>
      <c r="D98" s="303">
        <f>B98*Listini!G165</f>
        <v>0</v>
      </c>
      <c r="E98" s="303">
        <f>B98*Listini!K165</f>
        <v>0</v>
      </c>
      <c r="F98" s="303">
        <f>B98*Listini!O165</f>
        <v>0</v>
      </c>
      <c r="G98" s="303">
        <f>B98*Listini!S165</f>
        <v>0</v>
      </c>
      <c r="H98" s="303">
        <f>B98*Listini!W165</f>
        <v>0</v>
      </c>
      <c r="I98" s="303">
        <f>B98*Listini!AA165</f>
        <v>0</v>
      </c>
      <c r="J98" s="303">
        <f>B98*'Listino Offerta'!C165</f>
        <v>0</v>
      </c>
    </row>
    <row r="99" spans="1:10" ht="12">
      <c r="A99" s="303" t="s">
        <v>178</v>
      </c>
      <c r="B99" s="303">
        <f>'Servizi di Supp. Professionale'!D14</f>
        <v>0</v>
      </c>
      <c r="C99" s="303">
        <f>B99*Listini!C166</f>
        <v>0</v>
      </c>
      <c r="D99" s="303">
        <f>B99*Listini!G166</f>
        <v>0</v>
      </c>
      <c r="E99" s="303">
        <f>B99*Listini!K166</f>
        <v>0</v>
      </c>
      <c r="F99" s="303">
        <f>B99*Listini!O166</f>
        <v>0</v>
      </c>
      <c r="G99" s="303">
        <f>B99*Listini!S166</f>
        <v>0</v>
      </c>
      <c r="H99" s="303">
        <f>B99*Listini!W166</f>
        <v>0</v>
      </c>
      <c r="I99" s="303">
        <f>B99*Listini!AA166</f>
        <v>0</v>
      </c>
      <c r="J99" s="303">
        <f>B99*'Listino Offerta'!C166</f>
        <v>0</v>
      </c>
    </row>
    <row r="100" spans="1:10" ht="12">
      <c r="A100" s="303" t="s">
        <v>180</v>
      </c>
      <c r="B100" s="303">
        <f>'Servizi di Supp. Professionale'!D15</f>
        <v>0</v>
      </c>
      <c r="C100" s="303">
        <f>B100*Listini!C167</f>
        <v>0</v>
      </c>
      <c r="D100" s="303">
        <f>B100*Listini!G167</f>
        <v>0</v>
      </c>
      <c r="E100" s="303">
        <f>B100*Listini!K167</f>
        <v>0</v>
      </c>
      <c r="F100" s="303">
        <f>B100*Listini!O167</f>
        <v>0</v>
      </c>
      <c r="G100" s="303">
        <f>B100*Listini!S167</f>
        <v>0</v>
      </c>
      <c r="H100" s="303">
        <f>B100*Listini!W167</f>
        <v>0</v>
      </c>
      <c r="I100" s="303">
        <f>B100*Listini!AA167</f>
        <v>0</v>
      </c>
      <c r="J100" s="303">
        <f>B100*'Listino Offerta'!C167</f>
        <v>0</v>
      </c>
    </row>
    <row r="101" spans="1:10" ht="12">
      <c r="A101" s="303" t="s">
        <v>182</v>
      </c>
      <c r="B101" s="303">
        <f>'Servizi di Supp. Professionale'!D16</f>
        <v>0</v>
      </c>
      <c r="C101" s="303">
        <f>B101*Listini!C168</f>
        <v>0</v>
      </c>
      <c r="D101" s="303">
        <f>B101*Listini!G168</f>
        <v>0</v>
      </c>
      <c r="E101" s="303">
        <f>B101*Listini!K168</f>
        <v>0</v>
      </c>
      <c r="F101" s="303">
        <f>B101*Listini!O168</f>
        <v>0</v>
      </c>
      <c r="G101" s="303">
        <f>B101*Listini!S168</f>
        <v>0</v>
      </c>
      <c r="H101" s="303">
        <f>B101*Listini!W168</f>
        <v>0</v>
      </c>
      <c r="I101" s="303">
        <f>B101*Listini!AA168</f>
        <v>0</v>
      </c>
      <c r="J101" s="303">
        <f>B101*'Listino Offerta'!C168</f>
        <v>0</v>
      </c>
    </row>
    <row r="102" spans="1:10" ht="12">
      <c r="A102" s="303" t="s">
        <v>184</v>
      </c>
      <c r="B102" s="303">
        <f>'Servizi di Supp. Professionale'!D17</f>
        <v>0</v>
      </c>
      <c r="C102" s="303">
        <f>B102*Listini!C169</f>
        <v>0</v>
      </c>
      <c r="D102" s="303">
        <f>B102*Listini!G169</f>
        <v>0</v>
      </c>
      <c r="E102" s="303">
        <f>B102*Listini!K169</f>
        <v>0</v>
      </c>
      <c r="F102" s="303">
        <f>B102*Listini!O169</f>
        <v>0</v>
      </c>
      <c r="G102" s="303">
        <f>B102*Listini!S169</f>
        <v>0</v>
      </c>
      <c r="H102" s="303">
        <f>B102*Listini!W169</f>
        <v>0</v>
      </c>
      <c r="I102" s="303">
        <f>B102*Listini!AA169</f>
        <v>0</v>
      </c>
      <c r="J102" s="303">
        <f>B102*'Listino Offerta'!C169</f>
        <v>0</v>
      </c>
    </row>
    <row r="103" spans="1:10" ht="12">
      <c r="A103" s="303" t="s">
        <v>186</v>
      </c>
      <c r="B103" s="303">
        <f>'Servizi di Supp. Professionale'!D18</f>
        <v>0</v>
      </c>
      <c r="C103" s="303">
        <f>B103*Listini!C170</f>
        <v>0</v>
      </c>
      <c r="D103" s="303">
        <f>B103*Listini!G170</f>
        <v>0</v>
      </c>
      <c r="E103" s="303">
        <f>B103*Listini!K170</f>
        <v>0</v>
      </c>
      <c r="F103" s="303">
        <f>B103*Listini!O170</f>
        <v>0</v>
      </c>
      <c r="G103" s="303">
        <f>B103*Listini!S170</f>
        <v>0</v>
      </c>
      <c r="H103" s="303">
        <f>B103*Listini!W170</f>
        <v>0</v>
      </c>
      <c r="I103" s="303">
        <f>B103*Listini!AA170</f>
        <v>0</v>
      </c>
      <c r="J103" s="303">
        <f>B103*'Listino Offerta'!C170</f>
        <v>0</v>
      </c>
    </row>
    <row r="104" spans="1:10" ht="12">
      <c r="A104" s="303" t="s">
        <v>188</v>
      </c>
      <c r="B104" s="303">
        <f>'Servizi di Supp. Professionale'!D19</f>
        <v>0</v>
      </c>
      <c r="C104" s="303">
        <f>B104*Listini!C171</f>
        <v>0</v>
      </c>
      <c r="D104" s="303">
        <f>B104*Listini!G171</f>
        <v>0</v>
      </c>
      <c r="E104" s="303">
        <f>B104*Listini!K171</f>
        <v>0</v>
      </c>
      <c r="F104" s="303">
        <f>B104*Listini!O171</f>
        <v>0</v>
      </c>
      <c r="G104" s="303">
        <f>B104*Listini!S171</f>
        <v>0</v>
      </c>
      <c r="H104" s="303">
        <f>B104*Listini!W171</f>
        <v>0</v>
      </c>
      <c r="I104" s="303">
        <f>B104*Listini!AA171</f>
        <v>0</v>
      </c>
      <c r="J104" s="303">
        <f>B104*'Listino Offerta'!C171</f>
        <v>0</v>
      </c>
    </row>
    <row r="105" spans="1:10" ht="12">
      <c r="A105" s="303" t="s">
        <v>190</v>
      </c>
      <c r="B105" s="303">
        <f>'Servizi di Supp. Professionale'!D20</f>
        <v>0</v>
      </c>
      <c r="C105" s="303">
        <f>B105*Listini!C172</f>
        <v>0</v>
      </c>
      <c r="D105" s="303">
        <f>B105*Listini!G172</f>
        <v>0</v>
      </c>
      <c r="E105" s="303">
        <f>B105*Listini!K172</f>
        <v>0</v>
      </c>
      <c r="F105" s="303">
        <f>B105*Listini!O172</f>
        <v>0</v>
      </c>
      <c r="G105" s="303">
        <f>B105*Listini!S172</f>
        <v>0</v>
      </c>
      <c r="H105" s="303">
        <f>B105*Listini!W172</f>
        <v>0</v>
      </c>
      <c r="I105" s="303">
        <f>B105*Listini!AA172</f>
        <v>0</v>
      </c>
      <c r="J105" s="303">
        <f>B105*'Listino Offerta'!C172</f>
        <v>0</v>
      </c>
    </row>
    <row r="106" spans="1:10" ht="12">
      <c r="A106" s="303" t="s">
        <v>192</v>
      </c>
      <c r="B106" s="303">
        <f>'Servizi di Supp. Professionale'!D21</f>
        <v>0</v>
      </c>
      <c r="C106" s="303">
        <f>B106*Listini!C173</f>
        <v>0</v>
      </c>
      <c r="D106" s="303">
        <f>B106*Listini!G173</f>
        <v>0</v>
      </c>
      <c r="E106" s="303">
        <f>B106*Listini!K173</f>
        <v>0</v>
      </c>
      <c r="F106" s="303">
        <f>B106*Listini!O173</f>
        <v>0</v>
      </c>
      <c r="G106" s="303">
        <f>B106*Listini!S173</f>
        <v>0</v>
      </c>
      <c r="H106" s="303">
        <f>B106*Listini!W173</f>
        <v>0</v>
      </c>
      <c r="I106" s="303">
        <f>B106*Listini!AA173</f>
        <v>0</v>
      </c>
      <c r="J106" s="303">
        <f>B106*'Listino Offerta'!C173</f>
        <v>0</v>
      </c>
    </row>
    <row r="107" spans="1:10" ht="12">
      <c r="A107" s="303" t="s">
        <v>194</v>
      </c>
      <c r="B107" s="303">
        <f>'Servizi di Supp. Professionale'!D22</f>
        <v>0</v>
      </c>
      <c r="C107" s="303">
        <f>B107*Listini!C174</f>
        <v>0</v>
      </c>
      <c r="D107" s="303">
        <f>B107*Listini!G174</f>
        <v>0</v>
      </c>
      <c r="E107" s="303">
        <f>B107*Listini!K174</f>
        <v>0</v>
      </c>
      <c r="F107" s="303">
        <f>B107*Listini!O174</f>
        <v>0</v>
      </c>
      <c r="G107" s="303">
        <f>B107*Listini!S174</f>
        <v>0</v>
      </c>
      <c r="H107" s="303">
        <f>B107*Listini!W174</f>
        <v>0</v>
      </c>
      <c r="I107" s="303">
        <f>B107*Listini!AA174</f>
        <v>0</v>
      </c>
      <c r="J107" s="303">
        <f>B107*'Listino Offerta'!C174</f>
        <v>0</v>
      </c>
    </row>
    <row r="108" spans="1:10" ht="12">
      <c r="A108" s="303" t="s">
        <v>196</v>
      </c>
      <c r="B108" s="303">
        <f>'Servizi di Supp. Professionale'!D23</f>
        <v>0</v>
      </c>
      <c r="C108" s="303">
        <f>B108*Listini!C175</f>
        <v>0</v>
      </c>
      <c r="D108" s="303">
        <f>B108*Listini!G175</f>
        <v>0</v>
      </c>
      <c r="E108" s="303">
        <f>B108*Listini!K175</f>
        <v>0</v>
      </c>
      <c r="F108" s="303">
        <f>B108*Listini!O175</f>
        <v>0</v>
      </c>
      <c r="G108" s="303">
        <f>B108*Listini!S175</f>
        <v>0</v>
      </c>
      <c r="H108" s="303">
        <f>B108*Listini!W175</f>
        <v>0</v>
      </c>
      <c r="I108" s="303">
        <f>B108*Listini!AA175</f>
        <v>0</v>
      </c>
      <c r="J108" s="303">
        <f>B108*'Listino Offerta'!C175</f>
        <v>0</v>
      </c>
    </row>
    <row r="109" spans="1:10" ht="12">
      <c r="A109" s="303" t="s">
        <v>198</v>
      </c>
      <c r="B109" s="303">
        <f>'Servizi di Supp. Professionale'!D24</f>
        <v>0</v>
      </c>
      <c r="C109" s="303">
        <f>B109*Listini!C176</f>
        <v>0</v>
      </c>
      <c r="D109" s="303">
        <f>B109*Listini!G176</f>
        <v>0</v>
      </c>
      <c r="E109" s="303">
        <f>B109*Listini!K176</f>
        <v>0</v>
      </c>
      <c r="F109" s="303">
        <f>B109*Listini!O176</f>
        <v>0</v>
      </c>
      <c r="G109" s="303">
        <f>B109*Listini!S176</f>
        <v>0</v>
      </c>
      <c r="H109" s="303">
        <f>B109*Listini!W176</f>
        <v>0</v>
      </c>
      <c r="I109" s="303">
        <f>B109*Listini!AA176</f>
        <v>0</v>
      </c>
      <c r="J109" s="303">
        <f>B109*'Listino Offerta'!C176</f>
        <v>0</v>
      </c>
    </row>
    <row r="110" spans="4:9" ht="12">
      <c r="D110" s="303">
        <f>B110*Listini!G177</f>
        <v>0</v>
      </c>
      <c r="E110" s="303">
        <f>B110*Listini!K177</f>
        <v>0</v>
      </c>
      <c r="F110" s="303">
        <f>B110*Listini!O177</f>
        <v>0</v>
      </c>
      <c r="G110" s="303">
        <f>B110*Listini!S177</f>
        <v>0</v>
      </c>
      <c r="H110" s="303">
        <f>B110*Listini!W177</f>
        <v>0</v>
      </c>
      <c r="I110" s="303">
        <f>B110*Listini!AA177</f>
        <v>0</v>
      </c>
    </row>
    <row r="111" spans="1:10" ht="12">
      <c r="A111" s="455" t="s">
        <v>232</v>
      </c>
      <c r="B111" s="456"/>
      <c r="C111" s="303" t="s">
        <v>502</v>
      </c>
      <c r="D111" s="297" t="s">
        <v>503</v>
      </c>
      <c r="E111" s="303" t="s">
        <v>504</v>
      </c>
      <c r="F111" s="303" t="s">
        <v>505</v>
      </c>
      <c r="G111" s="303" t="s">
        <v>506</v>
      </c>
      <c r="H111" s="303" t="s">
        <v>507</v>
      </c>
      <c r="I111" s="303" t="s">
        <v>508</v>
      </c>
      <c r="J111" s="303" t="s">
        <v>521</v>
      </c>
    </row>
    <row r="112" spans="1:10" ht="37.5">
      <c r="A112" s="296" t="s">
        <v>217</v>
      </c>
      <c r="B112" s="303" t="s">
        <v>227</v>
      </c>
      <c r="C112" s="297" t="s">
        <v>27</v>
      </c>
      <c r="D112" s="297" t="s">
        <v>27</v>
      </c>
      <c r="E112" s="297" t="s">
        <v>27</v>
      </c>
      <c r="F112" s="297" t="s">
        <v>27</v>
      </c>
      <c r="G112" s="297" t="s">
        <v>27</v>
      </c>
      <c r="H112" s="297" t="s">
        <v>27</v>
      </c>
      <c r="I112" s="297" t="s">
        <v>27</v>
      </c>
      <c r="J112" s="297" t="s">
        <v>27</v>
      </c>
    </row>
    <row r="113" spans="1:10" ht="12">
      <c r="A113" s="303" t="s">
        <v>200</v>
      </c>
      <c r="B113" s="303">
        <f>'Servizi di Supp. Professionale'!D28</f>
        <v>0</v>
      </c>
      <c r="C113" s="303">
        <f>B113*Listini!C177</f>
        <v>0</v>
      </c>
      <c r="D113" s="303">
        <f>B113*Listini!G177</f>
        <v>0</v>
      </c>
      <c r="E113" s="303">
        <f>B113*Listini!K177</f>
        <v>0</v>
      </c>
      <c r="F113" s="303">
        <f>B113*Listini!O177</f>
        <v>0</v>
      </c>
      <c r="G113" s="303">
        <f>B113*Listini!S177</f>
        <v>0</v>
      </c>
      <c r="H113" s="303">
        <f>B113*Listini!W177</f>
        <v>0</v>
      </c>
      <c r="I113" s="303">
        <f>B113*Listini!AA177</f>
        <v>0</v>
      </c>
      <c r="J113" s="303">
        <f>B113*'Listino Offerta'!C177</f>
        <v>0</v>
      </c>
    </row>
    <row r="114" spans="1:10" ht="12">
      <c r="A114" s="303" t="s">
        <v>202</v>
      </c>
      <c r="B114" s="303">
        <f>'Servizi di Supp. Professionale'!D29</f>
        <v>0</v>
      </c>
      <c r="C114" s="303">
        <f>B114*Listini!C178</f>
        <v>0</v>
      </c>
      <c r="D114" s="303">
        <f>B114*Listini!G178</f>
        <v>0</v>
      </c>
      <c r="E114" s="303">
        <f>B114*Listini!K178</f>
        <v>0</v>
      </c>
      <c r="F114" s="303">
        <f>B114*Listini!O178</f>
        <v>0</v>
      </c>
      <c r="G114" s="303">
        <f>B114*Listini!S178</f>
        <v>0</v>
      </c>
      <c r="H114" s="303">
        <f>B114*Listini!W178</f>
        <v>0</v>
      </c>
      <c r="I114" s="303">
        <f>B114*Listini!AA178</f>
        <v>0</v>
      </c>
      <c r="J114" s="303">
        <f>B114*'Listino Offerta'!C178</f>
        <v>0</v>
      </c>
    </row>
    <row r="115" spans="1:10" ht="12">
      <c r="A115" s="303" t="s">
        <v>204</v>
      </c>
      <c r="B115" s="303">
        <f>'Servizi di Supp. Professionale'!D30</f>
        <v>0</v>
      </c>
      <c r="C115" s="303">
        <f>B115*Listini!C179</f>
        <v>0</v>
      </c>
      <c r="D115" s="303">
        <f>B115*Listini!G179</f>
        <v>0</v>
      </c>
      <c r="E115" s="303">
        <f>B115*Listini!K179</f>
        <v>0</v>
      </c>
      <c r="F115" s="303">
        <f>B115*Listini!O179</f>
        <v>0</v>
      </c>
      <c r="G115" s="303">
        <f>B115*Listini!S179</f>
        <v>0</v>
      </c>
      <c r="H115" s="303">
        <f>B115*Listini!W179</f>
        <v>0</v>
      </c>
      <c r="I115" s="303">
        <f>B115*Listini!AA179</f>
        <v>0</v>
      </c>
      <c r="J115" s="303">
        <f>B115*'Listino Offerta'!C179</f>
        <v>0</v>
      </c>
    </row>
    <row r="116" spans="1:10" ht="12">
      <c r="A116" s="303" t="s">
        <v>206</v>
      </c>
      <c r="B116" s="303">
        <f>'Servizi di Supp. Professionale'!D31</f>
        <v>0</v>
      </c>
      <c r="C116" s="303">
        <f>B116*Listini!C180</f>
        <v>0</v>
      </c>
      <c r="D116" s="303">
        <f>B116*Listini!G180</f>
        <v>0</v>
      </c>
      <c r="E116" s="303">
        <f>B116*Listini!K180</f>
        <v>0</v>
      </c>
      <c r="F116" s="303">
        <f>B116*Listini!O180</f>
        <v>0</v>
      </c>
      <c r="G116" s="303">
        <f>B116*Listini!S180</f>
        <v>0</v>
      </c>
      <c r="H116" s="303">
        <f>B116*Listini!W180</f>
        <v>0</v>
      </c>
      <c r="I116" s="303">
        <f>B116*Listini!AA180</f>
        <v>0</v>
      </c>
      <c r="J116" s="303">
        <f>B116*'Listino Offerta'!C180</f>
        <v>0</v>
      </c>
    </row>
    <row r="117" spans="1:10" ht="12">
      <c r="A117" s="303" t="s">
        <v>208</v>
      </c>
      <c r="B117" s="303">
        <f>'Servizi di Supp. Professionale'!D32</f>
        <v>0</v>
      </c>
      <c r="C117" s="303">
        <f>B117*Listini!C181</f>
        <v>0</v>
      </c>
      <c r="D117" s="303">
        <f>B117*Listini!G181</f>
        <v>0</v>
      </c>
      <c r="E117" s="303">
        <f>B117*Listini!K181</f>
        <v>0</v>
      </c>
      <c r="F117" s="303">
        <f>B117*Listini!O181</f>
        <v>0</v>
      </c>
      <c r="G117" s="303">
        <f>B117*Listini!S181</f>
        <v>0</v>
      </c>
      <c r="H117" s="303">
        <f>B117*Listini!W181</f>
        <v>0</v>
      </c>
      <c r="I117" s="303">
        <f>B117*Listini!AA181</f>
        <v>0</v>
      </c>
      <c r="J117" s="303">
        <f>B117*'Listino Offerta'!C181</f>
        <v>0</v>
      </c>
    </row>
    <row r="122" spans="1:10" s="305" customFormat="1" ht="12">
      <c r="A122" s="305" t="s">
        <v>511</v>
      </c>
      <c r="B122" s="305" t="s">
        <v>512</v>
      </c>
      <c r="C122" s="305" t="s">
        <v>513</v>
      </c>
      <c r="D122" s="305" t="s">
        <v>514</v>
      </c>
      <c r="E122" s="305" t="s">
        <v>515</v>
      </c>
      <c r="F122" s="305" t="s">
        <v>516</v>
      </c>
      <c r="G122" s="305" t="s">
        <v>517</v>
      </c>
      <c r="H122" s="305" t="s">
        <v>518</v>
      </c>
      <c r="I122" s="305" t="s">
        <v>519</v>
      </c>
      <c r="J122" s="305" t="s">
        <v>520</v>
      </c>
    </row>
    <row r="123" spans="1:10" ht="12">
      <c r="A123" s="303">
        <f>SUM(B123:F123)+SUM(G123:J123)*'Base d''asta'!$C$2</f>
        <v>0</v>
      </c>
      <c r="B123" s="303">
        <f>SUM($N$3:$N$22)</f>
        <v>0</v>
      </c>
      <c r="C123" s="303">
        <f>$B$26</f>
        <v>0</v>
      </c>
      <c r="D123" s="303">
        <f>$I$30</f>
        <v>0</v>
      </c>
      <c r="E123" s="303">
        <f>$I$34+$E$38+SUM($D$42:$D$50)+SUM($H$54:$H$73)+$G$77+SUM($D$81:$D$85)</f>
        <v>0</v>
      </c>
      <c r="F123" s="303">
        <f>SUM($C$89:$C$109)+SUM($C$113:$C$117)</f>
        <v>0</v>
      </c>
      <c r="G123" s="303">
        <f>SUM($O$3:$O$22)</f>
        <v>0</v>
      </c>
      <c r="H123" s="303">
        <f>$C$26</f>
        <v>0</v>
      </c>
      <c r="I123" s="303">
        <f>$J$30</f>
        <v>0</v>
      </c>
      <c r="J123" s="303">
        <f>$J$34+$F$38+SUM($E$42:$E$50)+SUM(I$54:$I$73)+$H$77+SUM($E$81:$E$85)</f>
        <v>0</v>
      </c>
    </row>
    <row r="124" spans="1:10" ht="12">
      <c r="A124" s="303">
        <f>SUM(B124:F124)+SUM(G124:J124)*'Base d''asta'!$C$2</f>
        <v>0</v>
      </c>
      <c r="B124" s="303">
        <f>SUM($P$3:$P$22)</f>
        <v>0</v>
      </c>
      <c r="C124" s="303">
        <f>$D$26</f>
        <v>0</v>
      </c>
      <c r="D124" s="303">
        <f>$K$30</f>
        <v>0</v>
      </c>
      <c r="E124" s="303">
        <f>$K$34+$G$38+SUM($F$42:$F$50)+SUM($J$54:$J$73)+$I$77+SUM($F$81:$F$85)</f>
        <v>0</v>
      </c>
      <c r="F124" s="303">
        <f>SUM($D$89:$D$109)+SUM($D$113:$D$117)</f>
        <v>0</v>
      </c>
      <c r="G124" s="303">
        <f>SUM($Q$3:$Q$22)</f>
        <v>0</v>
      </c>
      <c r="H124" s="303">
        <f>$E$26</f>
        <v>0</v>
      </c>
      <c r="I124" s="303">
        <f>$L$30</f>
        <v>0</v>
      </c>
      <c r="J124" s="303">
        <f>$L$34+$H$38+SUM($G$42:$G$50)+SUM($K$54:$K$73)+$J$77+SUM($G$81:$G$85)</f>
        <v>0</v>
      </c>
    </row>
    <row r="125" spans="1:10" ht="12">
      <c r="A125" s="303">
        <f>SUM(B125:F125)+SUM(G125:J125)*'Base d''asta'!$C$2</f>
        <v>0</v>
      </c>
      <c r="B125" s="303">
        <f>SUM($R$3:$R$22)</f>
        <v>0</v>
      </c>
      <c r="C125" s="303">
        <f>$F$26</f>
        <v>0</v>
      </c>
      <c r="D125" s="303">
        <f>$M$30</f>
        <v>0</v>
      </c>
      <c r="E125" s="303">
        <f>$M$34+$I$38+SUM($H$42:$H$50)+SUM($L$54:$L$73)+$K$77+SUM($H$81:$H$85)</f>
        <v>0</v>
      </c>
      <c r="F125" s="303">
        <f>SUM($E$89:$E$109)+SUM($E$113:$E$117)</f>
        <v>0</v>
      </c>
      <c r="G125" s="303">
        <f>SUM($S$3:$S$22)</f>
        <v>0</v>
      </c>
      <c r="H125" s="303">
        <f>$G$26</f>
        <v>0</v>
      </c>
      <c r="I125" s="303">
        <f>$N$30</f>
        <v>0</v>
      </c>
      <c r="J125" s="303">
        <f>$N$34+$J$38+SUM($I$42:$I$50)+SUM($M$54:$M$73)+$L$77+SUM($I$81:$I$85)</f>
        <v>0</v>
      </c>
    </row>
    <row r="126" spans="1:10" ht="12">
      <c r="A126" s="303">
        <f>SUM(B126:F126)+SUM(G126:J126)*'Base d''asta'!$C$2</f>
        <v>0</v>
      </c>
      <c r="B126" s="303">
        <f>SUM($T$3:$T$22)</f>
        <v>0</v>
      </c>
      <c r="C126" s="303">
        <f>$H$26</f>
        <v>0</v>
      </c>
      <c r="D126" s="303">
        <f>$O$30</f>
        <v>0</v>
      </c>
      <c r="E126" s="303">
        <f>$O$34+$K$38+SUM($J$42:$J$50)+SUM($N$54:$N$73)+$M$77+SUM($J$81:$J$85)</f>
        <v>0</v>
      </c>
      <c r="F126" s="303">
        <f>SUM($F$89:$F$109)+SUM($F$113:$F$117)</f>
        <v>0</v>
      </c>
      <c r="G126" s="303">
        <f>SUM($U$3:$U$22)</f>
        <v>0</v>
      </c>
      <c r="H126" s="303">
        <f>$I$26</f>
        <v>0</v>
      </c>
      <c r="I126" s="303">
        <f>$P$30</f>
        <v>0</v>
      </c>
      <c r="J126" s="303">
        <f>$P$34+$L$38+SUM($K$42:$K$50)+SUM($O$54:$O$73)+$N$77+SUM($K$81:$K$85)</f>
        <v>0</v>
      </c>
    </row>
    <row r="127" spans="1:10" ht="12">
      <c r="A127" s="303">
        <f>SUM(B127:F127)+SUM(G127:J127)*'Base d''asta'!$C$2</f>
        <v>0</v>
      </c>
      <c r="B127" s="303">
        <f>SUM($V$3:$V$22)</f>
        <v>0</v>
      </c>
      <c r="C127" s="303">
        <f>$J$26</f>
        <v>0</v>
      </c>
      <c r="D127" s="303">
        <f>$Q$30</f>
        <v>0</v>
      </c>
      <c r="E127" s="303">
        <f>$Q$34+$M$38+SUM($L$42:$L$50)+SUM($P$54:$P$73)+$O$77+SUM($L$81:$L$85)</f>
        <v>0</v>
      </c>
      <c r="F127" s="303">
        <f>SUM($G$89:$G$109)+SUM($G$113:$G$117)</f>
        <v>0</v>
      </c>
      <c r="G127" s="303">
        <f>SUM($W$3:$W$22)</f>
        <v>0</v>
      </c>
      <c r="H127" s="303">
        <f>$K$26</f>
        <v>0</v>
      </c>
      <c r="I127" s="303">
        <f>$R$30</f>
        <v>0</v>
      </c>
      <c r="J127" s="303">
        <f>$R$34+$N$38+SUM($M$42:$M$50)+SUM($Q$54:$Q$73)+$P$77+SUM($M$81:$M$85)</f>
        <v>0</v>
      </c>
    </row>
    <row r="128" spans="1:10" ht="12">
      <c r="A128" s="303">
        <f>SUM(B128:F128)+SUM(G128:J128)*'Base d''asta'!$C$2</f>
        <v>0</v>
      </c>
      <c r="B128" s="303">
        <f>SUM($X$3:$X$22)</f>
        <v>0</v>
      </c>
      <c r="C128" s="303">
        <f>$L$26</f>
        <v>0</v>
      </c>
      <c r="D128" s="303">
        <f>$S$30</f>
        <v>0</v>
      </c>
      <c r="E128" s="303">
        <f>$S$34+$O$38+SUM($N$42:$N$50)+SUM($R$54:$R$73)+$Q$77+SUM($N$81:$N$85)</f>
        <v>0</v>
      </c>
      <c r="F128" s="303">
        <f>SUM($H$89:$H$109)+SUM($H$113:$H$117)</f>
        <v>0</v>
      </c>
      <c r="G128" s="303">
        <f>SUM($Y$3:$Y$22)</f>
        <v>0</v>
      </c>
      <c r="H128" s="303">
        <f>$M$26</f>
        <v>0</v>
      </c>
      <c r="I128" s="303">
        <f>$T$30</f>
        <v>0</v>
      </c>
      <c r="J128" s="303">
        <f>$T$34+$P$38+SUM($O$42:$O$50)+SUM($S$54:$S$73)+$R$77+SUM($O$81:$O$85)</f>
        <v>0</v>
      </c>
    </row>
    <row r="129" spans="1:10" ht="12">
      <c r="A129" s="303">
        <f>SUM(B129:F129)+SUM(G129:J129)*'Base d''asta'!$C$2</f>
        <v>0</v>
      </c>
      <c r="B129" s="303">
        <f>SUM($Z$3:$Z$22)</f>
        <v>0</v>
      </c>
      <c r="C129" s="303">
        <f>$N$26</f>
        <v>0</v>
      </c>
      <c r="D129" s="303">
        <f>$U$30</f>
        <v>0</v>
      </c>
      <c r="E129" s="303">
        <f>$U$34+$Q$38+SUM($P$42:$P$50)+SUM($T$54:$T$73)+$S$77+SUM($P$81:$P$85)</f>
        <v>0</v>
      </c>
      <c r="F129" s="303">
        <f>SUM($I$89:$I$109)+SUM($I$113:$I$117)</f>
        <v>0</v>
      </c>
      <c r="G129" s="303">
        <f>SUM($AA$3:$AA$22)</f>
        <v>0</v>
      </c>
      <c r="H129" s="303">
        <f>$O$26</f>
        <v>0</v>
      </c>
      <c r="I129" s="303">
        <f>$V$30</f>
        <v>0</v>
      </c>
      <c r="J129" s="303">
        <f>$V$34+$R$38+SUM($Q$42:$Q$50)+SUM($U$54:$U$73)+$T$77+SUM($Q$81:$Q$85)</f>
        <v>0</v>
      </c>
    </row>
  </sheetData>
  <sheetProtection password="CCF0" sheet="1" objects="1" scenarios="1"/>
  <mergeCells count="81">
    <mergeCell ref="Q28:R28"/>
    <mergeCell ref="S28:T28"/>
    <mergeCell ref="T1:U1"/>
    <mergeCell ref="U28:V28"/>
    <mergeCell ref="V1:W1"/>
    <mergeCell ref="A28:H28"/>
    <mergeCell ref="A32:F32"/>
    <mergeCell ref="A87:B87"/>
    <mergeCell ref="N1:O1"/>
    <mergeCell ref="G36:H36"/>
    <mergeCell ref="I36:J36"/>
    <mergeCell ref="I28:J28"/>
    <mergeCell ref="K28:L28"/>
    <mergeCell ref="M28:N28"/>
    <mergeCell ref="O28:P28"/>
    <mergeCell ref="A111:B111"/>
    <mergeCell ref="A36:C36"/>
    <mergeCell ref="A40:C40"/>
    <mergeCell ref="A52:E52"/>
    <mergeCell ref="A75:F75"/>
    <mergeCell ref="E36:F36"/>
    <mergeCell ref="D40:E40"/>
    <mergeCell ref="F40:G40"/>
    <mergeCell ref="A79:B79"/>
    <mergeCell ref="G75:H75"/>
    <mergeCell ref="J24:K24"/>
    <mergeCell ref="L24:M24"/>
    <mergeCell ref="N24:O24"/>
    <mergeCell ref="P1:Q1"/>
    <mergeCell ref="B24:C24"/>
    <mergeCell ref="D24:E24"/>
    <mergeCell ref="F24:G24"/>
    <mergeCell ref="H24:I24"/>
    <mergeCell ref="N40:O40"/>
    <mergeCell ref="S36:T36"/>
    <mergeCell ref="I32:J32"/>
    <mergeCell ref="K32:L32"/>
    <mergeCell ref="M32:N32"/>
    <mergeCell ref="O32:P32"/>
    <mergeCell ref="K36:L36"/>
    <mergeCell ref="M36:N36"/>
    <mergeCell ref="O36:P36"/>
    <mergeCell ref="Q36:R36"/>
    <mergeCell ref="P40:Q40"/>
    <mergeCell ref="P52:Q52"/>
    <mergeCell ref="R40:S40"/>
    <mergeCell ref="H52:I52"/>
    <mergeCell ref="J52:K52"/>
    <mergeCell ref="L52:M52"/>
    <mergeCell ref="N52:O52"/>
    <mergeCell ref="H40:I40"/>
    <mergeCell ref="J40:K40"/>
    <mergeCell ref="L40:M40"/>
    <mergeCell ref="I75:J75"/>
    <mergeCell ref="K75:L75"/>
    <mergeCell ref="M75:N75"/>
    <mergeCell ref="L79:M79"/>
    <mergeCell ref="N79:O79"/>
    <mergeCell ref="O75:P75"/>
    <mergeCell ref="P79:Q79"/>
    <mergeCell ref="D79:E79"/>
    <mergeCell ref="F79:G79"/>
    <mergeCell ref="H79:I79"/>
    <mergeCell ref="J79:K79"/>
    <mergeCell ref="AB1:AC1"/>
    <mergeCell ref="P24:Q24"/>
    <mergeCell ref="W28:X28"/>
    <mergeCell ref="W32:X32"/>
    <mergeCell ref="Q32:R32"/>
    <mergeCell ref="S32:T32"/>
    <mergeCell ref="U32:V32"/>
    <mergeCell ref="X1:Y1"/>
    <mergeCell ref="Z1:AA1"/>
    <mergeCell ref="R1:S1"/>
    <mergeCell ref="V52:W52"/>
    <mergeCell ref="U75:V75"/>
    <mergeCell ref="R79:S79"/>
    <mergeCell ref="R52:S52"/>
    <mergeCell ref="T52:U52"/>
    <mergeCell ref="Q75:R75"/>
    <mergeCell ref="S75:T75"/>
  </mergeCells>
  <printOptions/>
  <pageMargins left="0.39375" right="0.39375" top="0.39375" bottom="0.39375" header="0.31527777777777777" footer="0.5118055555555555"/>
  <pageSetup fitToHeight="0" fitToWidth="1" horizontalDpi="300" verticalDpi="300" orientation="landscape" paperSize="9" scale="64" r:id="rId1"/>
  <headerFooter alignWithMargins="0">
    <oddHeader>&amp;L&amp;"Arial,Grassetto"&amp;12SERVIZI DI TRASPORTO DATI</oddHeader>
  </headerFooter>
  <colBreaks count="1" manualBreakCount="1">
    <brk id="8" max="65535" man="1"/>
  </colBreaks>
  <ignoredErrors>
    <ignoredError sqref="B3:B20 C3:C4 H3:M3" unlockedFormula="1"/>
  </ignoredErrors>
</worksheet>
</file>

<file path=xl/worksheets/sheet12.xml><?xml version="1.0" encoding="utf-8"?>
<worksheet xmlns="http://schemas.openxmlformats.org/spreadsheetml/2006/main" xmlns:r="http://schemas.openxmlformats.org/officeDocument/2006/relationships">
  <dimension ref="A1:F182"/>
  <sheetViews>
    <sheetView showGridLines="0" workbookViewId="0" topLeftCell="A1">
      <pane xSplit="2" ySplit="2" topLeftCell="C3" activePane="bottomRight" state="frozen"/>
      <selection pane="topLeft" activeCell="B137" sqref="B137"/>
      <selection pane="topRight" activeCell="B137" sqref="B137"/>
      <selection pane="bottomLeft" activeCell="B137" sqref="B137"/>
      <selection pane="bottomRight" activeCell="M10" sqref="M10"/>
    </sheetView>
  </sheetViews>
  <sheetFormatPr defaultColWidth="9.140625" defaultRowHeight="13.5" customHeight="1"/>
  <cols>
    <col min="1" max="1" width="15.8515625" style="204" bestFit="1" customWidth="1"/>
    <col min="2" max="2" width="67.00390625" style="205" customWidth="1"/>
    <col min="3" max="3" width="12.57421875" style="232" bestFit="1" customWidth="1"/>
    <col min="4" max="4" width="15.140625" style="235" bestFit="1" customWidth="1"/>
    <col min="5" max="5" width="13.421875" style="236" bestFit="1" customWidth="1"/>
    <col min="6" max="6" width="15.140625" style="236" bestFit="1" customWidth="1"/>
    <col min="7" max="16384" width="9.140625" style="206" customWidth="1"/>
  </cols>
  <sheetData>
    <row r="1" spans="3:6" ht="37.5" customHeight="1">
      <c r="C1" s="432" t="s">
        <v>521</v>
      </c>
      <c r="D1" s="433"/>
      <c r="E1" s="433"/>
      <c r="F1" s="434"/>
    </row>
    <row r="2" spans="1:6" ht="37.5" customHeight="1">
      <c r="A2" s="207" t="s">
        <v>217</v>
      </c>
      <c r="B2" s="208" t="s">
        <v>233</v>
      </c>
      <c r="C2" s="209" t="s">
        <v>509</v>
      </c>
      <c r="D2" s="209" t="s">
        <v>510</v>
      </c>
      <c r="E2" s="210" t="s">
        <v>490</v>
      </c>
      <c r="F2" s="210" t="s">
        <v>491</v>
      </c>
    </row>
    <row r="3" spans="1:6" ht="39" customHeight="1">
      <c r="A3" s="147" t="s">
        <v>31</v>
      </c>
      <c r="B3" s="213" t="s">
        <v>234</v>
      </c>
      <c r="C3" s="137"/>
      <c r="D3" s="137"/>
      <c r="E3" s="242">
        <v>0</v>
      </c>
      <c r="F3" s="242">
        <v>0</v>
      </c>
    </row>
    <row r="4" spans="1:6" ht="24.75" customHeight="1">
      <c r="A4" s="147" t="s">
        <v>33</v>
      </c>
      <c r="B4" s="213" t="s">
        <v>235</v>
      </c>
      <c r="C4" s="137"/>
      <c r="D4" s="137"/>
      <c r="E4" s="242">
        <v>0</v>
      </c>
      <c r="F4" s="242">
        <v>0</v>
      </c>
    </row>
    <row r="5" spans="1:6" ht="24.75" customHeight="1">
      <c r="A5" s="147" t="s">
        <v>34</v>
      </c>
      <c r="B5" s="213" t="s">
        <v>236</v>
      </c>
      <c r="C5" s="137"/>
      <c r="D5" s="137"/>
      <c r="E5" s="242">
        <v>0</v>
      </c>
      <c r="F5" s="242">
        <v>0</v>
      </c>
    </row>
    <row r="6" spans="1:6" ht="24.75" customHeight="1">
      <c r="A6" s="147" t="s">
        <v>36</v>
      </c>
      <c r="B6" s="213" t="s">
        <v>237</v>
      </c>
      <c r="C6" s="137"/>
      <c r="D6" s="137"/>
      <c r="E6" s="242">
        <v>0</v>
      </c>
      <c r="F6" s="242">
        <v>0</v>
      </c>
    </row>
    <row r="7" spans="1:6" ht="24.75" customHeight="1">
      <c r="A7" s="147" t="s">
        <v>37</v>
      </c>
      <c r="B7" s="213" t="s">
        <v>238</v>
      </c>
      <c r="C7" s="137"/>
      <c r="D7" s="137"/>
      <c r="E7" s="242">
        <v>0</v>
      </c>
      <c r="F7" s="242">
        <v>0</v>
      </c>
    </row>
    <row r="8" spans="1:6" ht="24.75" customHeight="1">
      <c r="A8" s="147" t="s">
        <v>39</v>
      </c>
      <c r="B8" s="213" t="s">
        <v>239</v>
      </c>
      <c r="C8" s="137"/>
      <c r="D8" s="137"/>
      <c r="E8" s="242">
        <v>0</v>
      </c>
      <c r="F8" s="242">
        <v>0</v>
      </c>
    </row>
    <row r="9" spans="1:6" ht="24.75" customHeight="1">
      <c r="A9" s="147" t="s">
        <v>40</v>
      </c>
      <c r="B9" s="213" t="s">
        <v>240</v>
      </c>
      <c r="C9" s="137"/>
      <c r="D9" s="137"/>
      <c r="E9" s="242">
        <v>0</v>
      </c>
      <c r="F9" s="242">
        <v>0</v>
      </c>
    </row>
    <row r="10" spans="1:6" ht="24.75" customHeight="1">
      <c r="A10" s="147" t="s">
        <v>42</v>
      </c>
      <c r="B10" s="213" t="s">
        <v>241</v>
      </c>
      <c r="C10" s="137"/>
      <c r="D10" s="137"/>
      <c r="E10" s="242">
        <v>0</v>
      </c>
      <c r="F10" s="242">
        <v>0</v>
      </c>
    </row>
    <row r="11" spans="1:6" ht="24.75" customHeight="1">
      <c r="A11" s="216" t="s">
        <v>43</v>
      </c>
      <c r="B11" s="217" t="s">
        <v>242</v>
      </c>
      <c r="C11" s="137"/>
      <c r="D11" s="137"/>
      <c r="E11" s="242">
        <v>0</v>
      </c>
      <c r="F11" s="242">
        <v>0</v>
      </c>
    </row>
    <row r="12" spans="1:6" ht="24.75" customHeight="1">
      <c r="A12" s="216" t="s">
        <v>44</v>
      </c>
      <c r="B12" s="217" t="s">
        <v>243</v>
      </c>
      <c r="C12" s="137"/>
      <c r="D12" s="137"/>
      <c r="E12" s="242">
        <v>0</v>
      </c>
      <c r="F12" s="242">
        <v>0</v>
      </c>
    </row>
    <row r="13" spans="1:6" ht="24.75" customHeight="1">
      <c r="A13" s="147" t="s">
        <v>46</v>
      </c>
      <c r="B13" s="213" t="s">
        <v>244</v>
      </c>
      <c r="C13" s="137"/>
      <c r="D13" s="137"/>
      <c r="E13" s="242">
        <v>0</v>
      </c>
      <c r="F13" s="242">
        <v>0</v>
      </c>
    </row>
    <row r="14" spans="1:6" ht="24.75" customHeight="1">
      <c r="A14" s="147" t="s">
        <v>47</v>
      </c>
      <c r="B14" s="213" t="s">
        <v>245</v>
      </c>
      <c r="C14" s="137"/>
      <c r="D14" s="137"/>
      <c r="E14" s="242">
        <v>0</v>
      </c>
      <c r="F14" s="242">
        <v>0</v>
      </c>
    </row>
    <row r="15" spans="1:6" ht="24.75" customHeight="1">
      <c r="A15" s="147" t="s">
        <v>49</v>
      </c>
      <c r="B15" s="213" t="s">
        <v>246</v>
      </c>
      <c r="C15" s="137"/>
      <c r="D15" s="137"/>
      <c r="E15" s="242">
        <v>0</v>
      </c>
      <c r="F15" s="242">
        <v>0</v>
      </c>
    </row>
    <row r="16" spans="1:6" ht="24.75" customHeight="1">
      <c r="A16" s="147" t="s">
        <v>50</v>
      </c>
      <c r="B16" s="213" t="s">
        <v>247</v>
      </c>
      <c r="C16" s="137"/>
      <c r="D16" s="137"/>
      <c r="E16" s="242">
        <v>0</v>
      </c>
      <c r="F16" s="242">
        <v>0</v>
      </c>
    </row>
    <row r="17" spans="1:6" ht="24.75" customHeight="1">
      <c r="A17" s="147" t="s">
        <v>51</v>
      </c>
      <c r="B17" s="213" t="s">
        <v>248</v>
      </c>
      <c r="C17" s="137"/>
      <c r="D17" s="137"/>
      <c r="E17" s="242">
        <v>0</v>
      </c>
      <c r="F17" s="242">
        <v>0</v>
      </c>
    </row>
    <row r="18" spans="1:6" ht="24.75" customHeight="1">
      <c r="A18" s="147" t="s">
        <v>53</v>
      </c>
      <c r="B18" s="213" t="s">
        <v>249</v>
      </c>
      <c r="C18" s="137"/>
      <c r="D18" s="137"/>
      <c r="E18" s="242">
        <v>0</v>
      </c>
      <c r="F18" s="242">
        <v>0</v>
      </c>
    </row>
    <row r="19" spans="1:6" ht="24.75" customHeight="1">
      <c r="A19" s="218" t="s">
        <v>55</v>
      </c>
      <c r="B19" s="219" t="s">
        <v>250</v>
      </c>
      <c r="C19" s="137"/>
      <c r="D19" s="137"/>
      <c r="E19" s="242">
        <v>0</v>
      </c>
      <c r="F19" s="242">
        <v>0</v>
      </c>
    </row>
    <row r="20" spans="1:6" ht="24.75" customHeight="1">
      <c r="A20" s="218" t="s">
        <v>56</v>
      </c>
      <c r="B20" s="219" t="s">
        <v>251</v>
      </c>
      <c r="C20" s="137"/>
      <c r="D20" s="137"/>
      <c r="E20" s="242">
        <v>0</v>
      </c>
      <c r="F20" s="242">
        <v>0</v>
      </c>
    </row>
    <row r="21" spans="1:6" ht="24.75" customHeight="1">
      <c r="A21" s="218" t="s">
        <v>58</v>
      </c>
      <c r="B21" s="219" t="s">
        <v>252</v>
      </c>
      <c r="C21" s="137"/>
      <c r="D21" s="137"/>
      <c r="E21" s="242">
        <v>0</v>
      </c>
      <c r="F21" s="242">
        <v>0</v>
      </c>
    </row>
    <row r="22" spans="1:6" ht="24.75" customHeight="1">
      <c r="A22" s="218" t="s">
        <v>60</v>
      </c>
      <c r="B22" s="219" t="s">
        <v>253</v>
      </c>
      <c r="C22" s="137"/>
      <c r="D22" s="137"/>
      <c r="E22" s="242">
        <v>0</v>
      </c>
      <c r="F22" s="242">
        <v>0</v>
      </c>
    </row>
    <row r="23" spans="1:6" ht="24.75" customHeight="1">
      <c r="A23" s="218" t="s">
        <v>61</v>
      </c>
      <c r="B23" s="219" t="s">
        <v>254</v>
      </c>
      <c r="C23" s="137"/>
      <c r="D23" s="137"/>
      <c r="E23" s="242">
        <v>0</v>
      </c>
      <c r="F23" s="242">
        <v>0</v>
      </c>
    </row>
    <row r="24" spans="1:6" ht="24.75" customHeight="1">
      <c r="A24" s="218" t="s">
        <v>62</v>
      </c>
      <c r="B24" s="219" t="s">
        <v>255</v>
      </c>
      <c r="C24" s="137"/>
      <c r="D24" s="137"/>
      <c r="E24" s="242">
        <v>0</v>
      </c>
      <c r="F24" s="242">
        <v>0</v>
      </c>
    </row>
    <row r="25" spans="1:6" ht="24.75" customHeight="1">
      <c r="A25" s="218" t="s">
        <v>63</v>
      </c>
      <c r="B25" s="219" t="s">
        <v>256</v>
      </c>
      <c r="C25" s="137"/>
      <c r="D25" s="137"/>
      <c r="E25" s="242">
        <v>0</v>
      </c>
      <c r="F25" s="242">
        <v>0</v>
      </c>
    </row>
    <row r="26" spans="1:6" ht="24.75" customHeight="1">
      <c r="A26" s="218" t="s">
        <v>64</v>
      </c>
      <c r="B26" s="219" t="s">
        <v>257</v>
      </c>
      <c r="C26" s="137"/>
      <c r="D26" s="137"/>
      <c r="E26" s="242">
        <v>0</v>
      </c>
      <c r="F26" s="242">
        <v>0</v>
      </c>
    </row>
    <row r="27" spans="1:6" ht="24.75" customHeight="1">
      <c r="A27" s="218" t="s">
        <v>65</v>
      </c>
      <c r="B27" s="219" t="s">
        <v>258</v>
      </c>
      <c r="C27" s="137"/>
      <c r="D27" s="137"/>
      <c r="E27" s="242">
        <v>0</v>
      </c>
      <c r="F27" s="242">
        <v>0</v>
      </c>
    </row>
    <row r="28" spans="1:6" ht="24.75" customHeight="1">
      <c r="A28" s="218" t="s">
        <v>66</v>
      </c>
      <c r="B28" s="219" t="s">
        <v>259</v>
      </c>
      <c r="C28" s="137"/>
      <c r="D28" s="137"/>
      <c r="E28" s="242">
        <v>0</v>
      </c>
      <c r="F28" s="242">
        <v>0</v>
      </c>
    </row>
    <row r="29" spans="1:6" ht="24.75" customHeight="1">
      <c r="A29" s="218" t="s">
        <v>67</v>
      </c>
      <c r="B29" s="219" t="s">
        <v>260</v>
      </c>
      <c r="C29" s="137"/>
      <c r="D29" s="137"/>
      <c r="E29" s="242">
        <v>0</v>
      </c>
      <c r="F29" s="242">
        <v>0</v>
      </c>
    </row>
    <row r="30" spans="1:6" ht="24.75" customHeight="1">
      <c r="A30" s="218" t="s">
        <v>68</v>
      </c>
      <c r="B30" s="219" t="s">
        <v>261</v>
      </c>
      <c r="C30" s="137"/>
      <c r="D30" s="137"/>
      <c r="E30" s="242">
        <v>0</v>
      </c>
      <c r="F30" s="242">
        <v>0</v>
      </c>
    </row>
    <row r="31" spans="1:6" ht="24.75" customHeight="1">
      <c r="A31" s="218" t="s">
        <v>69</v>
      </c>
      <c r="B31" s="219" t="s">
        <v>262</v>
      </c>
      <c r="C31" s="137"/>
      <c r="D31" s="137"/>
      <c r="E31" s="242">
        <v>0</v>
      </c>
      <c r="F31" s="242">
        <v>0</v>
      </c>
    </row>
    <row r="32" spans="1:6" ht="24.75" customHeight="1">
      <c r="A32" s="218" t="s">
        <v>70</v>
      </c>
      <c r="B32" s="219" t="s">
        <v>263</v>
      </c>
      <c r="C32" s="137"/>
      <c r="D32" s="137"/>
      <c r="E32" s="242">
        <v>0</v>
      </c>
      <c r="F32" s="242">
        <v>0</v>
      </c>
    </row>
    <row r="33" spans="1:6" ht="24.75" customHeight="1">
      <c r="A33" s="147" t="s">
        <v>71</v>
      </c>
      <c r="B33" s="213" t="s">
        <v>264</v>
      </c>
      <c r="C33" s="137"/>
      <c r="D33" s="137"/>
      <c r="E33" s="242">
        <v>0</v>
      </c>
      <c r="F33" s="242">
        <v>0</v>
      </c>
    </row>
    <row r="34" spans="1:6" ht="24.75" customHeight="1">
      <c r="A34" s="147" t="s">
        <v>72</v>
      </c>
      <c r="B34" s="213" t="s">
        <v>265</v>
      </c>
      <c r="C34" s="137"/>
      <c r="D34" s="137"/>
      <c r="E34" s="242">
        <v>0</v>
      </c>
      <c r="F34" s="242">
        <v>0</v>
      </c>
    </row>
    <row r="35" spans="1:6" ht="24.75" customHeight="1">
      <c r="A35" s="147" t="s">
        <v>73</v>
      </c>
      <c r="B35" s="213" t="s">
        <v>266</v>
      </c>
      <c r="C35" s="137"/>
      <c r="D35" s="137"/>
      <c r="E35" s="242">
        <v>0</v>
      </c>
      <c r="F35" s="242">
        <v>0</v>
      </c>
    </row>
    <row r="36" spans="1:6" ht="24.75" customHeight="1">
      <c r="A36" s="147" t="s">
        <v>74</v>
      </c>
      <c r="B36" s="213" t="s">
        <v>267</v>
      </c>
      <c r="C36" s="137"/>
      <c r="D36" s="137"/>
      <c r="E36" s="242">
        <v>0</v>
      </c>
      <c r="F36" s="242">
        <v>0</v>
      </c>
    </row>
    <row r="37" spans="1:6" ht="24.75" customHeight="1">
      <c r="A37" s="147" t="s">
        <v>75</v>
      </c>
      <c r="B37" s="213" t="s">
        <v>268</v>
      </c>
      <c r="C37" s="137"/>
      <c r="D37" s="137"/>
      <c r="E37" s="242">
        <v>0</v>
      </c>
      <c r="F37" s="242">
        <v>0</v>
      </c>
    </row>
    <row r="38" spans="1:6" ht="24.75" customHeight="1">
      <c r="A38" s="147" t="s">
        <v>76</v>
      </c>
      <c r="B38" s="213" t="s">
        <v>269</v>
      </c>
      <c r="C38" s="137"/>
      <c r="D38" s="137"/>
      <c r="E38" s="242">
        <v>0</v>
      </c>
      <c r="F38" s="242">
        <v>0</v>
      </c>
    </row>
    <row r="39" spans="1:6" ht="24.75" customHeight="1">
      <c r="A39" s="147" t="s">
        <v>77</v>
      </c>
      <c r="B39" s="213" t="s">
        <v>270</v>
      </c>
      <c r="C39" s="137"/>
      <c r="D39" s="137"/>
      <c r="E39" s="242">
        <v>0</v>
      </c>
      <c r="F39" s="242">
        <v>0</v>
      </c>
    </row>
    <row r="40" spans="1:6" ht="24.75" customHeight="1">
      <c r="A40" s="147" t="s">
        <v>78</v>
      </c>
      <c r="B40" s="213" t="s">
        <v>271</v>
      </c>
      <c r="C40" s="137"/>
      <c r="D40" s="137"/>
      <c r="E40" s="242">
        <v>0</v>
      </c>
      <c r="F40" s="242">
        <v>0</v>
      </c>
    </row>
    <row r="41" spans="1:6" ht="24.75" customHeight="1">
      <c r="A41" s="147" t="s">
        <v>79</v>
      </c>
      <c r="B41" s="213" t="s">
        <v>272</v>
      </c>
      <c r="C41" s="241">
        <v>0</v>
      </c>
      <c r="D41" s="137"/>
      <c r="E41" s="242">
        <v>0</v>
      </c>
      <c r="F41" s="242">
        <v>0</v>
      </c>
    </row>
    <row r="42" spans="1:6" ht="24.75" customHeight="1">
      <c r="A42" s="147" t="s">
        <v>273</v>
      </c>
      <c r="B42" s="213" t="s">
        <v>274</v>
      </c>
      <c r="C42" s="241">
        <v>0</v>
      </c>
      <c r="D42" s="137"/>
      <c r="E42" s="242">
        <v>0</v>
      </c>
      <c r="F42" s="242">
        <v>0</v>
      </c>
    </row>
    <row r="43" spans="1:6" ht="24.75" customHeight="1">
      <c r="A43" s="147" t="s">
        <v>275</v>
      </c>
      <c r="B43" s="213" t="s">
        <v>276</v>
      </c>
      <c r="C43" s="241">
        <v>0</v>
      </c>
      <c r="D43" s="241">
        <v>0</v>
      </c>
      <c r="E43" s="138"/>
      <c r="F43" s="138"/>
    </row>
    <row r="44" spans="1:6" ht="24.75" customHeight="1">
      <c r="A44" s="147" t="s">
        <v>277</v>
      </c>
      <c r="B44" s="213" t="s">
        <v>278</v>
      </c>
      <c r="C44" s="241">
        <v>0</v>
      </c>
      <c r="D44" s="241">
        <v>0</v>
      </c>
      <c r="E44" s="242">
        <v>0</v>
      </c>
      <c r="F44" s="138"/>
    </row>
    <row r="45" spans="1:6" ht="24.75" customHeight="1">
      <c r="A45" s="147" t="s">
        <v>279</v>
      </c>
      <c r="B45" s="213" t="s">
        <v>280</v>
      </c>
      <c r="C45" s="241">
        <v>0</v>
      </c>
      <c r="D45" s="241">
        <v>0</v>
      </c>
      <c r="E45" s="138"/>
      <c r="F45" s="138"/>
    </row>
    <row r="46" spans="1:6" ht="24.75" customHeight="1">
      <c r="A46" s="222" t="s">
        <v>281</v>
      </c>
      <c r="B46" s="223" t="s">
        <v>282</v>
      </c>
      <c r="C46" s="241">
        <v>0</v>
      </c>
      <c r="D46" s="137"/>
      <c r="E46" s="242">
        <v>0</v>
      </c>
      <c r="F46" s="242">
        <v>0</v>
      </c>
    </row>
    <row r="47" spans="1:6" ht="24.75" customHeight="1">
      <c r="A47" s="222" t="s">
        <v>283</v>
      </c>
      <c r="B47" s="223" t="s">
        <v>284</v>
      </c>
      <c r="C47" s="241">
        <v>0</v>
      </c>
      <c r="D47" s="137"/>
      <c r="E47" s="242">
        <v>0</v>
      </c>
      <c r="F47" s="242">
        <v>0</v>
      </c>
    </row>
    <row r="48" spans="1:6" ht="24.75" customHeight="1">
      <c r="A48" s="222" t="s">
        <v>285</v>
      </c>
      <c r="B48" s="223" t="s">
        <v>286</v>
      </c>
      <c r="C48" s="241">
        <v>0</v>
      </c>
      <c r="D48" s="137"/>
      <c r="E48" s="242">
        <v>0</v>
      </c>
      <c r="F48" s="242">
        <v>0</v>
      </c>
    </row>
    <row r="49" spans="1:6" ht="24.75" customHeight="1">
      <c r="A49" s="222" t="s">
        <v>287</v>
      </c>
      <c r="B49" s="223" t="s">
        <v>288</v>
      </c>
      <c r="C49" s="241">
        <v>0</v>
      </c>
      <c r="D49" s="137"/>
      <c r="E49" s="242">
        <v>0</v>
      </c>
      <c r="F49" s="242">
        <v>0</v>
      </c>
    </row>
    <row r="50" spans="1:6" ht="24.75" customHeight="1">
      <c r="A50" s="222" t="s">
        <v>94</v>
      </c>
      <c r="B50" s="223" t="s">
        <v>289</v>
      </c>
      <c r="C50" s="241">
        <v>0</v>
      </c>
      <c r="D50" s="137"/>
      <c r="E50" s="242">
        <v>0</v>
      </c>
      <c r="F50" s="242">
        <v>0</v>
      </c>
    </row>
    <row r="51" spans="1:6" ht="24.75" customHeight="1">
      <c r="A51" s="147" t="s">
        <v>83</v>
      </c>
      <c r="B51" s="213" t="s">
        <v>290</v>
      </c>
      <c r="C51" s="241">
        <v>0</v>
      </c>
      <c r="D51" s="137"/>
      <c r="E51" s="242">
        <v>0</v>
      </c>
      <c r="F51" s="242">
        <v>0</v>
      </c>
    </row>
    <row r="52" spans="1:6" ht="24.75" customHeight="1">
      <c r="A52" s="147" t="s">
        <v>84</v>
      </c>
      <c r="B52" s="213" t="s">
        <v>291</v>
      </c>
      <c r="C52" s="241">
        <v>0</v>
      </c>
      <c r="D52" s="137"/>
      <c r="E52" s="242">
        <v>0</v>
      </c>
      <c r="F52" s="242">
        <v>0</v>
      </c>
    </row>
    <row r="53" spans="1:6" ht="24.75" customHeight="1">
      <c r="A53" s="224" t="s">
        <v>85</v>
      </c>
      <c r="B53" s="213" t="s">
        <v>292</v>
      </c>
      <c r="C53" s="241">
        <v>0</v>
      </c>
      <c r="D53" s="137"/>
      <c r="E53" s="242">
        <v>0</v>
      </c>
      <c r="F53" s="242">
        <v>0</v>
      </c>
    </row>
    <row r="54" spans="1:6" ht="24.75" customHeight="1">
      <c r="A54" s="224" t="s">
        <v>86</v>
      </c>
      <c r="B54" s="213" t="s">
        <v>293</v>
      </c>
      <c r="C54" s="241">
        <v>0</v>
      </c>
      <c r="D54" s="137"/>
      <c r="E54" s="242">
        <v>0</v>
      </c>
      <c r="F54" s="242">
        <v>0</v>
      </c>
    </row>
    <row r="55" spans="1:6" ht="24.75" customHeight="1">
      <c r="A55" s="224" t="s">
        <v>294</v>
      </c>
      <c r="B55" s="225" t="s">
        <v>295</v>
      </c>
      <c r="C55" s="137"/>
      <c r="D55" s="137"/>
      <c r="E55" s="242">
        <v>0</v>
      </c>
      <c r="F55" s="242">
        <v>0</v>
      </c>
    </row>
    <row r="56" spans="1:6" ht="24.75" customHeight="1">
      <c r="A56" s="218" t="s">
        <v>101</v>
      </c>
      <c r="B56" s="226" t="s">
        <v>296</v>
      </c>
      <c r="C56" s="137"/>
      <c r="D56" s="137"/>
      <c r="E56" s="242">
        <v>0</v>
      </c>
      <c r="F56" s="242">
        <v>0</v>
      </c>
    </row>
    <row r="57" spans="1:6" ht="24.75" customHeight="1">
      <c r="A57" s="218" t="s">
        <v>102</v>
      </c>
      <c r="B57" s="226" t="s">
        <v>297</v>
      </c>
      <c r="C57" s="137"/>
      <c r="D57" s="137"/>
      <c r="E57" s="242">
        <v>0</v>
      </c>
      <c r="F57" s="242">
        <v>0</v>
      </c>
    </row>
    <row r="58" spans="1:6" ht="24.75" customHeight="1">
      <c r="A58" s="218" t="s">
        <v>103</v>
      </c>
      <c r="B58" s="226" t="s">
        <v>298</v>
      </c>
      <c r="C58" s="137"/>
      <c r="D58" s="137"/>
      <c r="E58" s="242">
        <v>0</v>
      </c>
      <c r="F58" s="242">
        <v>0</v>
      </c>
    </row>
    <row r="59" spans="1:6" ht="24.75" customHeight="1">
      <c r="A59" s="218" t="s">
        <v>104</v>
      </c>
      <c r="B59" s="226" t="s">
        <v>299</v>
      </c>
      <c r="C59" s="137"/>
      <c r="D59" s="137"/>
      <c r="E59" s="242">
        <v>0</v>
      </c>
      <c r="F59" s="242">
        <v>0</v>
      </c>
    </row>
    <row r="60" spans="1:6" ht="24.75" customHeight="1">
      <c r="A60" s="218" t="s">
        <v>105</v>
      </c>
      <c r="B60" s="226" t="s">
        <v>300</v>
      </c>
      <c r="C60" s="137"/>
      <c r="D60" s="137"/>
      <c r="E60" s="242">
        <v>0</v>
      </c>
      <c r="F60" s="242">
        <v>0</v>
      </c>
    </row>
    <row r="61" spans="1:6" ht="24.75" customHeight="1">
      <c r="A61" s="218" t="s">
        <v>106</v>
      </c>
      <c r="B61" s="226" t="s">
        <v>301</v>
      </c>
      <c r="C61" s="137"/>
      <c r="D61" s="137"/>
      <c r="E61" s="242">
        <v>0</v>
      </c>
      <c r="F61" s="242">
        <v>0</v>
      </c>
    </row>
    <row r="62" spans="1:6" ht="24.75" customHeight="1">
      <c r="A62" s="147" t="s">
        <v>302</v>
      </c>
      <c r="B62" s="213" t="s">
        <v>303</v>
      </c>
      <c r="C62" s="137"/>
      <c r="D62" s="137"/>
      <c r="E62" s="242">
        <v>0</v>
      </c>
      <c r="F62" s="242">
        <v>0</v>
      </c>
    </row>
    <row r="63" spans="1:6" ht="24.75" customHeight="1">
      <c r="A63" s="147" t="s">
        <v>304</v>
      </c>
      <c r="B63" s="213" t="s">
        <v>305</v>
      </c>
      <c r="C63" s="137"/>
      <c r="D63" s="137"/>
      <c r="E63" s="242">
        <v>0</v>
      </c>
      <c r="F63" s="242">
        <v>0</v>
      </c>
    </row>
    <row r="64" spans="1:6" ht="24.75" customHeight="1">
      <c r="A64" s="147" t="s">
        <v>306</v>
      </c>
      <c r="B64" s="213" t="s">
        <v>307</v>
      </c>
      <c r="C64" s="137"/>
      <c r="D64" s="137"/>
      <c r="E64" s="242">
        <v>0</v>
      </c>
      <c r="F64" s="242">
        <v>0</v>
      </c>
    </row>
    <row r="65" spans="1:6" ht="24.75" customHeight="1">
      <c r="A65" s="147" t="s">
        <v>308</v>
      </c>
      <c r="B65" s="213" t="s">
        <v>309</v>
      </c>
      <c r="C65" s="137"/>
      <c r="D65" s="137"/>
      <c r="E65" s="242">
        <v>0</v>
      </c>
      <c r="F65" s="242">
        <v>0</v>
      </c>
    </row>
    <row r="66" spans="1:6" ht="24.75" customHeight="1">
      <c r="A66" s="147" t="s">
        <v>310</v>
      </c>
      <c r="B66" s="213" t="s">
        <v>311</v>
      </c>
      <c r="C66" s="137"/>
      <c r="D66" s="137"/>
      <c r="E66" s="242">
        <v>0</v>
      </c>
      <c r="F66" s="242">
        <v>0</v>
      </c>
    </row>
    <row r="67" spans="1:6" ht="24.75" customHeight="1">
      <c r="A67" s="147" t="s">
        <v>312</v>
      </c>
      <c r="B67" s="213" t="s">
        <v>313</v>
      </c>
      <c r="C67" s="137"/>
      <c r="D67" s="137"/>
      <c r="E67" s="242">
        <v>0</v>
      </c>
      <c r="F67" s="242">
        <v>0</v>
      </c>
    </row>
    <row r="68" spans="1:6" ht="24.75" customHeight="1">
      <c r="A68" s="147" t="s">
        <v>314</v>
      </c>
      <c r="B68" s="213" t="s">
        <v>315</v>
      </c>
      <c r="C68" s="137"/>
      <c r="D68" s="137"/>
      <c r="E68" s="242">
        <v>0</v>
      </c>
      <c r="F68" s="242">
        <v>0</v>
      </c>
    </row>
    <row r="69" spans="1:6" ht="24.75" customHeight="1">
      <c r="A69" s="147" t="s">
        <v>316</v>
      </c>
      <c r="B69" s="213" t="s">
        <v>317</v>
      </c>
      <c r="C69" s="137"/>
      <c r="D69" s="137"/>
      <c r="E69" s="242">
        <v>0</v>
      </c>
      <c r="F69" s="242">
        <v>0</v>
      </c>
    </row>
    <row r="70" spans="1:6" ht="24.75" customHeight="1">
      <c r="A70" s="147" t="s">
        <v>318</v>
      </c>
      <c r="B70" s="213" t="s">
        <v>319</v>
      </c>
      <c r="C70" s="137"/>
      <c r="D70" s="137"/>
      <c r="E70" s="242">
        <v>0</v>
      </c>
      <c r="F70" s="242">
        <v>0</v>
      </c>
    </row>
    <row r="71" spans="1:6" ht="24.75" customHeight="1">
      <c r="A71" s="147" t="s">
        <v>320</v>
      </c>
      <c r="B71" s="213" t="s">
        <v>321</v>
      </c>
      <c r="C71" s="137"/>
      <c r="D71" s="137"/>
      <c r="E71" s="242">
        <v>0</v>
      </c>
      <c r="F71" s="242">
        <v>0</v>
      </c>
    </row>
    <row r="72" spans="1:6" ht="24.75" customHeight="1">
      <c r="A72" s="147" t="s">
        <v>322</v>
      </c>
      <c r="B72" s="213" t="s">
        <v>323</v>
      </c>
      <c r="C72" s="137"/>
      <c r="D72" s="137"/>
      <c r="E72" s="242">
        <v>0</v>
      </c>
      <c r="F72" s="242">
        <v>0</v>
      </c>
    </row>
    <row r="73" spans="1:6" ht="24.75" customHeight="1">
      <c r="A73" s="147" t="s">
        <v>324</v>
      </c>
      <c r="B73" s="213" t="s">
        <v>325</v>
      </c>
      <c r="C73" s="137"/>
      <c r="D73" s="137"/>
      <c r="E73" s="242">
        <v>0</v>
      </c>
      <c r="F73" s="242">
        <v>0</v>
      </c>
    </row>
    <row r="74" spans="1:6" ht="24.75" customHeight="1">
      <c r="A74" s="147" t="s">
        <v>326</v>
      </c>
      <c r="B74" s="213" t="s">
        <v>327</v>
      </c>
      <c r="C74" s="137"/>
      <c r="D74" s="137"/>
      <c r="E74" s="242">
        <v>0</v>
      </c>
      <c r="F74" s="242">
        <v>0</v>
      </c>
    </row>
    <row r="75" spans="1:6" ht="24.75" customHeight="1">
      <c r="A75" s="147" t="s">
        <v>328</v>
      </c>
      <c r="B75" s="213" t="s">
        <v>329</v>
      </c>
      <c r="C75" s="137"/>
      <c r="D75" s="137"/>
      <c r="E75" s="242">
        <v>0</v>
      </c>
      <c r="F75" s="242">
        <v>0</v>
      </c>
    </row>
    <row r="76" spans="1:6" ht="24.75" customHeight="1">
      <c r="A76" s="147" t="s">
        <v>330</v>
      </c>
      <c r="B76" s="213" t="s">
        <v>331</v>
      </c>
      <c r="C76" s="137"/>
      <c r="D76" s="137"/>
      <c r="E76" s="242">
        <v>0</v>
      </c>
      <c r="F76" s="242">
        <v>0</v>
      </c>
    </row>
    <row r="77" spans="1:6" ht="24.75" customHeight="1">
      <c r="A77" s="147" t="s">
        <v>332</v>
      </c>
      <c r="B77" s="213" t="s">
        <v>333</v>
      </c>
      <c r="C77" s="137"/>
      <c r="D77" s="137"/>
      <c r="E77" s="242">
        <v>0</v>
      </c>
      <c r="F77" s="242">
        <v>0</v>
      </c>
    </row>
    <row r="78" spans="1:6" ht="24.75" customHeight="1">
      <c r="A78" s="147" t="s">
        <v>334</v>
      </c>
      <c r="B78" s="213" t="s">
        <v>335</v>
      </c>
      <c r="C78" s="137"/>
      <c r="D78" s="137"/>
      <c r="E78" s="242">
        <v>0</v>
      </c>
      <c r="F78" s="242">
        <v>0</v>
      </c>
    </row>
    <row r="79" spans="1:6" ht="24.75" customHeight="1">
      <c r="A79" s="147" t="s">
        <v>336</v>
      </c>
      <c r="B79" s="213" t="s">
        <v>337</v>
      </c>
      <c r="C79" s="137"/>
      <c r="D79" s="137"/>
      <c r="E79" s="242">
        <v>0</v>
      </c>
      <c r="F79" s="242">
        <v>0</v>
      </c>
    </row>
    <row r="80" spans="1:6" ht="24.75" customHeight="1">
      <c r="A80" s="147" t="s">
        <v>338</v>
      </c>
      <c r="B80" s="213" t="s">
        <v>339</v>
      </c>
      <c r="C80" s="137"/>
      <c r="D80" s="137"/>
      <c r="E80" s="242">
        <v>0</v>
      </c>
      <c r="F80" s="242">
        <v>0</v>
      </c>
    </row>
    <row r="81" spans="1:6" ht="24.75" customHeight="1">
      <c r="A81" s="147" t="s">
        <v>340</v>
      </c>
      <c r="B81" s="213" t="s">
        <v>341</v>
      </c>
      <c r="C81" s="137"/>
      <c r="D81" s="137"/>
      <c r="E81" s="242">
        <v>0</v>
      </c>
      <c r="F81" s="242">
        <v>0</v>
      </c>
    </row>
    <row r="82" spans="1:6" ht="24.75" customHeight="1">
      <c r="A82" s="147" t="s">
        <v>342</v>
      </c>
      <c r="B82" s="213" t="s">
        <v>343</v>
      </c>
      <c r="C82" s="137"/>
      <c r="D82" s="137"/>
      <c r="E82" s="242">
        <v>0</v>
      </c>
      <c r="F82" s="242">
        <v>0</v>
      </c>
    </row>
    <row r="83" spans="1:6" ht="24.75" customHeight="1">
      <c r="A83" s="147" t="s">
        <v>344</v>
      </c>
      <c r="B83" s="213" t="s">
        <v>345</v>
      </c>
      <c r="C83" s="137"/>
      <c r="D83" s="137"/>
      <c r="E83" s="242">
        <v>0</v>
      </c>
      <c r="F83" s="242">
        <v>0</v>
      </c>
    </row>
    <row r="84" spans="1:6" ht="24.75" customHeight="1">
      <c r="A84" s="147" t="s">
        <v>346</v>
      </c>
      <c r="B84" s="213" t="s">
        <v>347</v>
      </c>
      <c r="C84" s="137"/>
      <c r="D84" s="137"/>
      <c r="E84" s="242">
        <v>0</v>
      </c>
      <c r="F84" s="242">
        <v>0</v>
      </c>
    </row>
    <row r="85" spans="1:6" ht="24.75" customHeight="1">
      <c r="A85" s="218" t="s">
        <v>348</v>
      </c>
      <c r="B85" s="219" t="s">
        <v>349</v>
      </c>
      <c r="C85" s="241">
        <v>0</v>
      </c>
      <c r="D85" s="137"/>
      <c r="E85" s="242">
        <v>0</v>
      </c>
      <c r="F85" s="242">
        <v>0</v>
      </c>
    </row>
    <row r="86" spans="1:6" ht="24.75" customHeight="1">
      <c r="A86" s="218" t="s">
        <v>350</v>
      </c>
      <c r="B86" s="219" t="s">
        <v>351</v>
      </c>
      <c r="C86" s="241">
        <v>0</v>
      </c>
      <c r="D86" s="137"/>
      <c r="E86" s="242">
        <v>0</v>
      </c>
      <c r="F86" s="242">
        <v>0</v>
      </c>
    </row>
    <row r="87" spans="1:6" ht="24.75" customHeight="1">
      <c r="A87" s="218" t="s">
        <v>352</v>
      </c>
      <c r="B87" s="219" t="s">
        <v>353</v>
      </c>
      <c r="C87" s="241">
        <v>0</v>
      </c>
      <c r="D87" s="137"/>
      <c r="E87" s="242">
        <v>0</v>
      </c>
      <c r="F87" s="242">
        <v>0</v>
      </c>
    </row>
    <row r="88" spans="1:6" ht="24.75" customHeight="1">
      <c r="A88" s="218" t="s">
        <v>354</v>
      </c>
      <c r="B88" s="219" t="s">
        <v>355</v>
      </c>
      <c r="C88" s="241">
        <v>0</v>
      </c>
      <c r="D88" s="137"/>
      <c r="E88" s="242">
        <v>0</v>
      </c>
      <c r="F88" s="242">
        <v>0</v>
      </c>
    </row>
    <row r="89" spans="1:6" ht="24.75" customHeight="1">
      <c r="A89" s="218" t="s">
        <v>356</v>
      </c>
      <c r="B89" s="219" t="s">
        <v>357</v>
      </c>
      <c r="C89" s="241">
        <v>0</v>
      </c>
      <c r="D89" s="137"/>
      <c r="E89" s="242">
        <v>0</v>
      </c>
      <c r="F89" s="242">
        <v>0</v>
      </c>
    </row>
    <row r="90" spans="1:6" ht="24.75" customHeight="1">
      <c r="A90" s="218" t="s">
        <v>358</v>
      </c>
      <c r="B90" s="219" t="s">
        <v>359</v>
      </c>
      <c r="C90" s="241">
        <v>0</v>
      </c>
      <c r="D90" s="137"/>
      <c r="E90" s="242">
        <v>0</v>
      </c>
      <c r="F90" s="242">
        <v>0</v>
      </c>
    </row>
    <row r="91" spans="1:6" ht="24.75" customHeight="1">
      <c r="A91" s="218" t="s">
        <v>360</v>
      </c>
      <c r="B91" s="219" t="s">
        <v>361</v>
      </c>
      <c r="C91" s="241">
        <v>0</v>
      </c>
      <c r="D91" s="137"/>
      <c r="E91" s="242">
        <v>0</v>
      </c>
      <c r="F91" s="242">
        <v>0</v>
      </c>
    </row>
    <row r="92" spans="1:6" ht="24.75" customHeight="1">
      <c r="A92" s="218" t="s">
        <v>362</v>
      </c>
      <c r="B92" s="219" t="s">
        <v>363</v>
      </c>
      <c r="C92" s="241">
        <v>0</v>
      </c>
      <c r="D92" s="137"/>
      <c r="E92" s="242">
        <v>0</v>
      </c>
      <c r="F92" s="242">
        <v>0</v>
      </c>
    </row>
    <row r="93" spans="1:6" ht="24.75" customHeight="1">
      <c r="A93" s="218" t="s">
        <v>364</v>
      </c>
      <c r="B93" s="219" t="s">
        <v>365</v>
      </c>
      <c r="C93" s="241">
        <v>0</v>
      </c>
      <c r="D93" s="137"/>
      <c r="E93" s="242">
        <v>0</v>
      </c>
      <c r="F93" s="242">
        <v>0</v>
      </c>
    </row>
    <row r="94" spans="1:6" ht="24.75" customHeight="1">
      <c r="A94" s="218" t="s">
        <v>366</v>
      </c>
      <c r="B94" s="219" t="s">
        <v>367</v>
      </c>
      <c r="C94" s="241">
        <v>0</v>
      </c>
      <c r="D94" s="137"/>
      <c r="E94" s="242">
        <v>0</v>
      </c>
      <c r="F94" s="242">
        <v>0</v>
      </c>
    </row>
    <row r="95" spans="1:6" ht="24.75" customHeight="1">
      <c r="A95" s="218" t="s">
        <v>368</v>
      </c>
      <c r="B95" s="219" t="s">
        <v>369</v>
      </c>
      <c r="C95" s="241">
        <v>0</v>
      </c>
      <c r="D95" s="137"/>
      <c r="E95" s="242">
        <v>0</v>
      </c>
      <c r="F95" s="242">
        <v>0</v>
      </c>
    </row>
    <row r="96" spans="1:6" ht="24.75" customHeight="1">
      <c r="A96" s="218" t="s">
        <v>370</v>
      </c>
      <c r="B96" s="219" t="s">
        <v>371</v>
      </c>
      <c r="C96" s="241">
        <v>0</v>
      </c>
      <c r="D96" s="137"/>
      <c r="E96" s="242">
        <v>0</v>
      </c>
      <c r="F96" s="242">
        <v>0</v>
      </c>
    </row>
    <row r="97" spans="1:6" ht="24.75" customHeight="1">
      <c r="A97" s="218" t="s">
        <v>372</v>
      </c>
      <c r="B97" s="219" t="s">
        <v>373</v>
      </c>
      <c r="C97" s="241">
        <v>0</v>
      </c>
      <c r="D97" s="137"/>
      <c r="E97" s="242">
        <v>0</v>
      </c>
      <c r="F97" s="242">
        <v>0</v>
      </c>
    </row>
    <row r="98" spans="1:6" ht="24.75" customHeight="1">
      <c r="A98" s="218" t="s">
        <v>374</v>
      </c>
      <c r="B98" s="219" t="s">
        <v>375</v>
      </c>
      <c r="C98" s="241">
        <v>0</v>
      </c>
      <c r="D98" s="137"/>
      <c r="E98" s="242">
        <v>0</v>
      </c>
      <c r="F98" s="242">
        <v>0</v>
      </c>
    </row>
    <row r="99" spans="1:6" ht="24.75" customHeight="1">
      <c r="A99" s="218" t="s">
        <v>376</v>
      </c>
      <c r="B99" s="219" t="s">
        <v>377</v>
      </c>
      <c r="C99" s="241">
        <v>0</v>
      </c>
      <c r="D99" s="137"/>
      <c r="E99" s="242">
        <v>0</v>
      </c>
      <c r="F99" s="242">
        <v>0</v>
      </c>
    </row>
    <row r="100" spans="1:6" ht="24.75" customHeight="1">
      <c r="A100" s="218" t="s">
        <v>378</v>
      </c>
      <c r="B100" s="219" t="s">
        <v>379</v>
      </c>
      <c r="C100" s="241">
        <v>0</v>
      </c>
      <c r="D100" s="137"/>
      <c r="E100" s="242">
        <v>0</v>
      </c>
      <c r="F100" s="242">
        <v>0</v>
      </c>
    </row>
    <row r="101" spans="1:6" ht="24.75" customHeight="1">
      <c r="A101" s="218" t="s">
        <v>380</v>
      </c>
      <c r="B101" s="219" t="s">
        <v>381</v>
      </c>
      <c r="C101" s="241">
        <v>0</v>
      </c>
      <c r="D101" s="137"/>
      <c r="E101" s="242">
        <v>0</v>
      </c>
      <c r="F101" s="242">
        <v>0</v>
      </c>
    </row>
    <row r="102" spans="1:6" ht="24.75" customHeight="1">
      <c r="A102" s="218" t="s">
        <v>382</v>
      </c>
      <c r="B102" s="219" t="s">
        <v>383</v>
      </c>
      <c r="C102" s="241">
        <v>0</v>
      </c>
      <c r="D102" s="137"/>
      <c r="E102" s="242">
        <v>0</v>
      </c>
      <c r="F102" s="242">
        <v>0</v>
      </c>
    </row>
    <row r="103" spans="1:6" ht="24.75" customHeight="1">
      <c r="A103" s="147" t="s">
        <v>384</v>
      </c>
      <c r="B103" s="213" t="s">
        <v>385</v>
      </c>
      <c r="C103" s="241">
        <v>0</v>
      </c>
      <c r="D103" s="241">
        <v>0</v>
      </c>
      <c r="E103" s="138"/>
      <c r="F103" s="138"/>
    </row>
    <row r="104" spans="1:6" ht="24.75" customHeight="1">
      <c r="A104" s="147" t="s">
        <v>386</v>
      </c>
      <c r="B104" s="213" t="s">
        <v>387</v>
      </c>
      <c r="C104" s="241">
        <v>0</v>
      </c>
      <c r="D104" s="241">
        <v>0</v>
      </c>
      <c r="E104" s="242">
        <v>0</v>
      </c>
      <c r="F104" s="138"/>
    </row>
    <row r="105" spans="1:6" ht="24.75" customHeight="1">
      <c r="A105" s="147" t="s">
        <v>388</v>
      </c>
      <c r="B105" s="213" t="s">
        <v>389</v>
      </c>
      <c r="C105" s="241">
        <v>0</v>
      </c>
      <c r="D105" s="241">
        <v>0</v>
      </c>
      <c r="E105" s="138"/>
      <c r="F105" s="138"/>
    </row>
    <row r="106" spans="1:6" ht="24.75" customHeight="1">
      <c r="A106" s="218" t="s">
        <v>110</v>
      </c>
      <c r="B106" s="219" t="s">
        <v>390</v>
      </c>
      <c r="C106" s="137"/>
      <c r="D106" s="137"/>
      <c r="E106" s="242">
        <v>0</v>
      </c>
      <c r="F106" s="242">
        <v>0</v>
      </c>
    </row>
    <row r="107" spans="1:6" s="228" customFormat="1" ht="24.75" customHeight="1">
      <c r="A107" s="218" t="s">
        <v>111</v>
      </c>
      <c r="B107" s="219" t="s">
        <v>391</v>
      </c>
      <c r="C107" s="137"/>
      <c r="D107" s="137"/>
      <c r="E107" s="242">
        <v>0</v>
      </c>
      <c r="F107" s="242">
        <v>0</v>
      </c>
    </row>
    <row r="108" spans="1:6" s="228" customFormat="1" ht="24.75" customHeight="1">
      <c r="A108" s="218" t="s">
        <v>112</v>
      </c>
      <c r="B108" s="219" t="s">
        <v>392</v>
      </c>
      <c r="C108" s="137"/>
      <c r="D108" s="137"/>
      <c r="E108" s="242">
        <v>0</v>
      </c>
      <c r="F108" s="242">
        <v>0</v>
      </c>
    </row>
    <row r="109" spans="1:6" s="228" customFormat="1" ht="24.75" customHeight="1">
      <c r="A109" s="218" t="s">
        <v>113</v>
      </c>
      <c r="B109" s="219" t="s">
        <v>393</v>
      </c>
      <c r="C109" s="137"/>
      <c r="D109" s="137"/>
      <c r="E109" s="242">
        <v>0</v>
      </c>
      <c r="F109" s="242">
        <v>0</v>
      </c>
    </row>
    <row r="110" spans="1:6" s="228" customFormat="1" ht="24.75" customHeight="1">
      <c r="A110" s="218" t="s">
        <v>116</v>
      </c>
      <c r="B110" s="219" t="s">
        <v>394</v>
      </c>
      <c r="C110" s="137"/>
      <c r="D110" s="137"/>
      <c r="E110" s="242">
        <v>0</v>
      </c>
      <c r="F110" s="242">
        <v>0</v>
      </c>
    </row>
    <row r="111" spans="1:6" s="228" customFormat="1" ht="24.75" customHeight="1">
      <c r="A111" s="218" t="s">
        <v>117</v>
      </c>
      <c r="B111" s="219" t="s">
        <v>395</v>
      </c>
      <c r="C111" s="137"/>
      <c r="D111" s="137"/>
      <c r="E111" s="242">
        <v>0</v>
      </c>
      <c r="F111" s="242">
        <v>0</v>
      </c>
    </row>
    <row r="112" spans="1:6" s="228" customFormat="1" ht="24.75" customHeight="1">
      <c r="A112" s="218" t="s">
        <v>118</v>
      </c>
      <c r="B112" s="219" t="s">
        <v>396</v>
      </c>
      <c r="C112" s="137"/>
      <c r="D112" s="137"/>
      <c r="E112" s="242">
        <v>0</v>
      </c>
      <c r="F112" s="242">
        <v>0</v>
      </c>
    </row>
    <row r="113" spans="1:6" s="228" customFormat="1" ht="24.75" customHeight="1">
      <c r="A113" s="218" t="s">
        <v>119</v>
      </c>
      <c r="B113" s="219" t="s">
        <v>397</v>
      </c>
      <c r="C113" s="137"/>
      <c r="D113" s="137"/>
      <c r="E113" s="242">
        <v>0</v>
      </c>
      <c r="F113" s="242">
        <v>0</v>
      </c>
    </row>
    <row r="114" spans="1:6" s="228" customFormat="1" ht="24.75" customHeight="1">
      <c r="A114" s="218" t="s">
        <v>120</v>
      </c>
      <c r="B114" s="219" t="s">
        <v>398</v>
      </c>
      <c r="C114" s="137"/>
      <c r="D114" s="137"/>
      <c r="E114" s="242">
        <v>0</v>
      </c>
      <c r="F114" s="242">
        <v>0</v>
      </c>
    </row>
    <row r="115" spans="1:6" s="228" customFormat="1" ht="24.75" customHeight="1">
      <c r="A115" s="218" t="s">
        <v>121</v>
      </c>
      <c r="B115" s="219" t="s">
        <v>399</v>
      </c>
      <c r="C115" s="137"/>
      <c r="D115" s="137"/>
      <c r="E115" s="242">
        <v>0</v>
      </c>
      <c r="F115" s="242">
        <v>0</v>
      </c>
    </row>
    <row r="116" spans="1:6" s="228" customFormat="1" ht="24.75" customHeight="1">
      <c r="A116" s="218" t="s">
        <v>122</v>
      </c>
      <c r="B116" s="219" t="s">
        <v>400</v>
      </c>
      <c r="C116" s="137"/>
      <c r="D116" s="137"/>
      <c r="E116" s="242">
        <v>0</v>
      </c>
      <c r="F116" s="242">
        <v>0</v>
      </c>
    </row>
    <row r="117" spans="1:6" s="228" customFormat="1" ht="24.75" customHeight="1">
      <c r="A117" s="218" t="s">
        <v>123</v>
      </c>
      <c r="B117" s="219" t="s">
        <v>401</v>
      </c>
      <c r="C117" s="137"/>
      <c r="D117" s="137"/>
      <c r="E117" s="242">
        <v>0</v>
      </c>
      <c r="F117" s="242">
        <v>0</v>
      </c>
    </row>
    <row r="118" spans="1:6" s="228" customFormat="1" ht="24.75" customHeight="1">
      <c r="A118" s="229" t="s">
        <v>124</v>
      </c>
      <c r="B118" s="230" t="s">
        <v>402</v>
      </c>
      <c r="C118" s="137"/>
      <c r="D118" s="137"/>
      <c r="E118" s="242">
        <v>0</v>
      </c>
      <c r="F118" s="242">
        <v>0</v>
      </c>
    </row>
    <row r="119" spans="1:6" s="228" customFormat="1" ht="24.75" customHeight="1">
      <c r="A119" s="229" t="s">
        <v>125</v>
      </c>
      <c r="B119" s="230" t="s">
        <v>403</v>
      </c>
      <c r="C119" s="137"/>
      <c r="D119" s="137"/>
      <c r="E119" s="242">
        <v>0</v>
      </c>
      <c r="F119" s="242">
        <v>0</v>
      </c>
    </row>
    <row r="120" spans="1:6" s="228" customFormat="1" ht="24.75" customHeight="1">
      <c r="A120" s="229" t="s">
        <v>126</v>
      </c>
      <c r="B120" s="230" t="s">
        <v>404</v>
      </c>
      <c r="C120" s="137"/>
      <c r="D120" s="137"/>
      <c r="E120" s="242">
        <v>0</v>
      </c>
      <c r="F120" s="242">
        <v>0</v>
      </c>
    </row>
    <row r="121" spans="1:6" s="228" customFormat="1" ht="24.75" customHeight="1">
      <c r="A121" s="229" t="s">
        <v>127</v>
      </c>
      <c r="B121" s="230" t="s">
        <v>405</v>
      </c>
      <c r="C121" s="137"/>
      <c r="D121" s="137"/>
      <c r="E121" s="242">
        <v>0</v>
      </c>
      <c r="F121" s="242">
        <v>0</v>
      </c>
    </row>
    <row r="122" spans="1:6" s="228" customFormat="1" ht="24.75" customHeight="1">
      <c r="A122" s="218" t="s">
        <v>128</v>
      </c>
      <c r="B122" s="219" t="s">
        <v>406</v>
      </c>
      <c r="C122" s="137"/>
      <c r="D122" s="137"/>
      <c r="E122" s="242">
        <v>0</v>
      </c>
      <c r="F122" s="242">
        <v>0</v>
      </c>
    </row>
    <row r="123" spans="1:6" s="228" customFormat="1" ht="24.75" customHeight="1">
      <c r="A123" s="218" t="s">
        <v>129</v>
      </c>
      <c r="B123" s="219" t="s">
        <v>407</v>
      </c>
      <c r="C123" s="137"/>
      <c r="D123" s="137"/>
      <c r="E123" s="242">
        <v>0</v>
      </c>
      <c r="F123" s="242">
        <v>0</v>
      </c>
    </row>
    <row r="124" spans="1:6" s="228" customFormat="1" ht="24.75" customHeight="1">
      <c r="A124" s="218" t="s">
        <v>130</v>
      </c>
      <c r="B124" s="219" t="s">
        <v>408</v>
      </c>
      <c r="C124" s="137"/>
      <c r="D124" s="137"/>
      <c r="E124" s="242">
        <v>0</v>
      </c>
      <c r="F124" s="242">
        <v>0</v>
      </c>
    </row>
    <row r="125" spans="1:6" s="228" customFormat="1" ht="24.75" customHeight="1">
      <c r="A125" s="218" t="s">
        <v>131</v>
      </c>
      <c r="B125" s="219" t="s">
        <v>409</v>
      </c>
      <c r="C125" s="137"/>
      <c r="D125" s="137"/>
      <c r="E125" s="242">
        <v>0</v>
      </c>
      <c r="F125" s="242">
        <v>0</v>
      </c>
    </row>
    <row r="126" spans="1:6" s="228" customFormat="1" ht="24.75" customHeight="1">
      <c r="A126" s="218" t="s">
        <v>132</v>
      </c>
      <c r="B126" s="219" t="s">
        <v>410</v>
      </c>
      <c r="C126" s="137"/>
      <c r="D126" s="137"/>
      <c r="E126" s="242">
        <v>0</v>
      </c>
      <c r="F126" s="242">
        <v>0</v>
      </c>
    </row>
    <row r="127" spans="1:6" s="228" customFormat="1" ht="24.75" customHeight="1">
      <c r="A127" s="218" t="s">
        <v>133</v>
      </c>
      <c r="B127" s="219" t="s">
        <v>411</v>
      </c>
      <c r="C127" s="137"/>
      <c r="D127" s="137"/>
      <c r="E127" s="242">
        <v>0</v>
      </c>
      <c r="F127" s="242">
        <v>0</v>
      </c>
    </row>
    <row r="128" spans="1:6" s="228" customFormat="1" ht="24.75" customHeight="1">
      <c r="A128" s="218" t="s">
        <v>134</v>
      </c>
      <c r="B128" s="219" t="s">
        <v>412</v>
      </c>
      <c r="C128" s="137"/>
      <c r="D128" s="137"/>
      <c r="E128" s="242">
        <v>0</v>
      </c>
      <c r="F128" s="242">
        <v>0</v>
      </c>
    </row>
    <row r="129" spans="1:6" s="228" customFormat="1" ht="24.75" customHeight="1">
      <c r="A129" s="218" t="s">
        <v>135</v>
      </c>
      <c r="B129" s="219" t="s">
        <v>413</v>
      </c>
      <c r="C129" s="137"/>
      <c r="D129" s="137"/>
      <c r="E129" s="242">
        <v>0</v>
      </c>
      <c r="F129" s="242">
        <v>0</v>
      </c>
    </row>
    <row r="130" spans="1:6" s="228" customFormat="1" ht="24.75" customHeight="1">
      <c r="A130" s="218" t="s">
        <v>414</v>
      </c>
      <c r="B130" s="219" t="s">
        <v>415</v>
      </c>
      <c r="C130" s="137"/>
      <c r="D130" s="137"/>
      <c r="E130" s="242">
        <v>0</v>
      </c>
      <c r="F130" s="242">
        <v>0</v>
      </c>
    </row>
    <row r="131" spans="1:6" s="228" customFormat="1" ht="24.75" customHeight="1">
      <c r="A131" s="218" t="s">
        <v>145</v>
      </c>
      <c r="B131" s="219" t="s">
        <v>417</v>
      </c>
      <c r="C131" s="137"/>
      <c r="D131" s="242">
        <v>0</v>
      </c>
      <c r="E131" s="242">
        <v>0</v>
      </c>
      <c r="F131" s="242">
        <v>0</v>
      </c>
    </row>
    <row r="132" spans="1:6" s="228" customFormat="1" ht="24.75" customHeight="1">
      <c r="A132" s="218" t="s">
        <v>146</v>
      </c>
      <c r="B132" s="219" t="s">
        <v>416</v>
      </c>
      <c r="C132" s="137"/>
      <c r="D132" s="242">
        <v>0</v>
      </c>
      <c r="E132" s="242">
        <v>0</v>
      </c>
      <c r="F132" s="242">
        <v>0</v>
      </c>
    </row>
    <row r="133" spans="1:6" s="228" customFormat="1" ht="24.75" customHeight="1">
      <c r="A133" s="218" t="s">
        <v>152</v>
      </c>
      <c r="B133" s="219" t="s">
        <v>418</v>
      </c>
      <c r="C133" s="137"/>
      <c r="D133" s="137"/>
      <c r="E133" s="242">
        <v>0</v>
      </c>
      <c r="F133" s="242">
        <v>0</v>
      </c>
    </row>
    <row r="134" spans="1:6" s="228" customFormat="1" ht="24.75" customHeight="1">
      <c r="A134" s="218" t="s">
        <v>147</v>
      </c>
      <c r="B134" s="219" t="s">
        <v>419</v>
      </c>
      <c r="C134" s="137"/>
      <c r="D134" s="137"/>
      <c r="E134" s="242">
        <v>0</v>
      </c>
      <c r="F134" s="242">
        <v>0</v>
      </c>
    </row>
    <row r="135" spans="1:6" s="228" customFormat="1" ht="24.75" customHeight="1">
      <c r="A135" s="218" t="s">
        <v>148</v>
      </c>
      <c r="B135" s="219" t="s">
        <v>420</v>
      </c>
      <c r="C135" s="137"/>
      <c r="D135" s="137"/>
      <c r="E135" s="242">
        <v>0</v>
      </c>
      <c r="F135" s="242">
        <v>0</v>
      </c>
    </row>
    <row r="136" spans="1:6" s="228" customFormat="1" ht="24.75" customHeight="1">
      <c r="A136" s="218" t="s">
        <v>149</v>
      </c>
      <c r="B136" s="219" t="s">
        <v>421</v>
      </c>
      <c r="C136" s="137"/>
      <c r="D136" s="137"/>
      <c r="E136" s="242">
        <v>0</v>
      </c>
      <c r="F136" s="242">
        <v>0</v>
      </c>
    </row>
    <row r="137" spans="1:6" s="228" customFormat="1" ht="24.75" customHeight="1">
      <c r="A137" s="218" t="s">
        <v>150</v>
      </c>
      <c r="B137" s="219" t="s">
        <v>422</v>
      </c>
      <c r="C137" s="137"/>
      <c r="D137" s="137"/>
      <c r="E137" s="242">
        <v>0</v>
      </c>
      <c r="F137" s="242">
        <v>0</v>
      </c>
    </row>
    <row r="138" spans="1:6" s="228" customFormat="1" ht="24.75" customHeight="1">
      <c r="A138" s="218" t="s">
        <v>151</v>
      </c>
      <c r="B138" s="219" t="s">
        <v>423</v>
      </c>
      <c r="C138" s="137"/>
      <c r="D138" s="137"/>
      <c r="E138" s="242">
        <v>0</v>
      </c>
      <c r="F138" s="242">
        <v>0</v>
      </c>
    </row>
    <row r="139" spans="1:6" s="228" customFormat="1" ht="24.75" customHeight="1">
      <c r="A139" s="218" t="s">
        <v>424</v>
      </c>
      <c r="B139" s="219" t="s">
        <v>425</v>
      </c>
      <c r="C139" s="241">
        <v>0</v>
      </c>
      <c r="D139" s="137"/>
      <c r="E139" s="242">
        <v>0</v>
      </c>
      <c r="F139" s="242">
        <v>0</v>
      </c>
    </row>
    <row r="140" spans="1:6" ht="24.75" customHeight="1">
      <c r="A140" s="218" t="s">
        <v>426</v>
      </c>
      <c r="B140" s="219" t="s">
        <v>427</v>
      </c>
      <c r="C140" s="241">
        <v>0</v>
      </c>
      <c r="D140" s="137"/>
      <c r="E140" s="242">
        <v>0</v>
      </c>
      <c r="F140" s="242">
        <v>0</v>
      </c>
    </row>
    <row r="141" spans="1:6" ht="24.75" customHeight="1">
      <c r="A141" s="218" t="s">
        <v>428</v>
      </c>
      <c r="B141" s="219" t="s">
        <v>429</v>
      </c>
      <c r="C141" s="241">
        <v>0</v>
      </c>
      <c r="D141" s="137"/>
      <c r="E141" s="242">
        <v>0</v>
      </c>
      <c r="F141" s="242">
        <v>0</v>
      </c>
    </row>
    <row r="142" spans="1:6" ht="24.75" customHeight="1">
      <c r="A142" s="218" t="s">
        <v>430</v>
      </c>
      <c r="B142" s="219" t="s">
        <v>431</v>
      </c>
      <c r="C142" s="241">
        <v>0</v>
      </c>
      <c r="D142" s="137"/>
      <c r="E142" s="242">
        <v>0</v>
      </c>
      <c r="F142" s="242">
        <v>0</v>
      </c>
    </row>
    <row r="143" spans="1:6" ht="24.75" customHeight="1">
      <c r="A143" s="218" t="s">
        <v>432</v>
      </c>
      <c r="B143" s="231" t="s">
        <v>433</v>
      </c>
      <c r="C143" s="241">
        <v>0</v>
      </c>
      <c r="D143" s="137"/>
      <c r="E143" s="242">
        <v>0</v>
      </c>
      <c r="F143" s="242">
        <v>0</v>
      </c>
    </row>
    <row r="144" spans="1:6" ht="24.75" customHeight="1">
      <c r="A144" s="218" t="s">
        <v>434</v>
      </c>
      <c r="B144" s="231" t="s">
        <v>435</v>
      </c>
      <c r="C144" s="241">
        <v>0</v>
      </c>
      <c r="D144" s="137"/>
      <c r="E144" s="242">
        <v>0</v>
      </c>
      <c r="F144" s="242">
        <v>0</v>
      </c>
    </row>
    <row r="145" spans="1:6" ht="24.75" customHeight="1">
      <c r="A145" s="218" t="s">
        <v>436</v>
      </c>
      <c r="B145" s="231" t="s">
        <v>437</v>
      </c>
      <c r="C145" s="241">
        <v>0</v>
      </c>
      <c r="D145" s="137"/>
      <c r="E145" s="242">
        <v>0</v>
      </c>
      <c r="F145" s="242">
        <v>0</v>
      </c>
    </row>
    <row r="146" spans="1:6" ht="24.75" customHeight="1">
      <c r="A146" s="218" t="s">
        <v>438</v>
      </c>
      <c r="B146" s="231" t="s">
        <v>439</v>
      </c>
      <c r="C146" s="241">
        <v>0</v>
      </c>
      <c r="D146" s="137"/>
      <c r="E146" s="242">
        <v>0</v>
      </c>
      <c r="F146" s="242">
        <v>0</v>
      </c>
    </row>
    <row r="147" spans="1:6" ht="24.75" customHeight="1">
      <c r="A147" s="229" t="s">
        <v>440</v>
      </c>
      <c r="B147" s="230" t="s">
        <v>441</v>
      </c>
      <c r="C147" s="241">
        <v>0</v>
      </c>
      <c r="D147" s="137"/>
      <c r="E147" s="242">
        <v>0</v>
      </c>
      <c r="F147" s="242">
        <v>0</v>
      </c>
    </row>
    <row r="148" spans="1:6" ht="24.75" customHeight="1">
      <c r="A148" s="229" t="s">
        <v>442</v>
      </c>
      <c r="B148" s="230" t="s">
        <v>443</v>
      </c>
      <c r="C148" s="241">
        <v>0</v>
      </c>
      <c r="D148" s="137"/>
      <c r="E148" s="242">
        <v>0</v>
      </c>
      <c r="F148" s="242">
        <v>0</v>
      </c>
    </row>
    <row r="149" spans="1:6" ht="24.75" customHeight="1">
      <c r="A149" s="229" t="s">
        <v>444</v>
      </c>
      <c r="B149" s="230" t="s">
        <v>445</v>
      </c>
      <c r="C149" s="241">
        <v>0</v>
      </c>
      <c r="D149" s="137"/>
      <c r="E149" s="242">
        <v>0</v>
      </c>
      <c r="F149" s="242">
        <v>0</v>
      </c>
    </row>
    <row r="150" spans="1:6" ht="24.75" customHeight="1">
      <c r="A150" s="229" t="s">
        <v>446</v>
      </c>
      <c r="B150" s="230" t="s">
        <v>447</v>
      </c>
      <c r="C150" s="241">
        <v>0</v>
      </c>
      <c r="D150" s="137"/>
      <c r="E150" s="242">
        <v>0</v>
      </c>
      <c r="F150" s="242">
        <v>0</v>
      </c>
    </row>
    <row r="151" spans="1:6" ht="24.75" customHeight="1">
      <c r="A151" s="218" t="s">
        <v>448</v>
      </c>
      <c r="B151" s="219" t="s">
        <v>449</v>
      </c>
      <c r="C151" s="137"/>
      <c r="D151" s="241">
        <v>0</v>
      </c>
      <c r="E151" s="242">
        <v>0</v>
      </c>
      <c r="F151" s="242">
        <v>0</v>
      </c>
    </row>
    <row r="152" spans="1:6" ht="24.75" customHeight="1">
      <c r="A152" s="218" t="s">
        <v>450</v>
      </c>
      <c r="B152" s="219" t="s">
        <v>451</v>
      </c>
      <c r="C152" s="241">
        <v>0</v>
      </c>
      <c r="D152" s="137"/>
      <c r="E152" s="242">
        <v>0</v>
      </c>
      <c r="F152" s="242">
        <v>0</v>
      </c>
    </row>
    <row r="153" spans="1:6" ht="24.75" customHeight="1">
      <c r="A153" s="147" t="s">
        <v>452</v>
      </c>
      <c r="B153" s="213" t="s">
        <v>453</v>
      </c>
      <c r="C153" s="241">
        <v>0</v>
      </c>
      <c r="D153" s="241">
        <v>0</v>
      </c>
      <c r="E153" s="138"/>
      <c r="F153" s="138"/>
    </row>
    <row r="154" spans="1:6" ht="24.75" customHeight="1">
      <c r="A154" s="147" t="s">
        <v>454</v>
      </c>
      <c r="B154" s="213" t="s">
        <v>455</v>
      </c>
      <c r="C154" s="241">
        <v>0</v>
      </c>
      <c r="D154" s="241">
        <v>0</v>
      </c>
      <c r="E154" s="242">
        <v>0</v>
      </c>
      <c r="F154" s="138"/>
    </row>
    <row r="155" spans="1:6" ht="24.75" customHeight="1">
      <c r="A155" s="147" t="s">
        <v>456</v>
      </c>
      <c r="B155" s="213" t="s">
        <v>457</v>
      </c>
      <c r="C155" s="241">
        <v>0</v>
      </c>
      <c r="D155" s="241">
        <v>0</v>
      </c>
      <c r="E155" s="138"/>
      <c r="F155" s="138"/>
    </row>
    <row r="156" spans="1:6" ht="24.75" customHeight="1">
      <c r="A156" s="218" t="s">
        <v>158</v>
      </c>
      <c r="B156" s="219" t="s">
        <v>458</v>
      </c>
      <c r="C156" s="137"/>
      <c r="D156" s="241">
        <v>0</v>
      </c>
      <c r="E156" s="242">
        <v>0</v>
      </c>
      <c r="F156" s="242">
        <v>0</v>
      </c>
    </row>
    <row r="157" spans="1:6" ht="24.75" customHeight="1">
      <c r="A157" s="218" t="s">
        <v>160</v>
      </c>
      <c r="B157" s="219" t="s">
        <v>459</v>
      </c>
      <c r="C157" s="137"/>
      <c r="D157" s="241">
        <v>0</v>
      </c>
      <c r="E157" s="242">
        <v>0</v>
      </c>
      <c r="F157" s="242">
        <v>0</v>
      </c>
    </row>
    <row r="158" spans="1:6" ht="24.75" customHeight="1">
      <c r="A158" s="218" t="s">
        <v>162</v>
      </c>
      <c r="B158" s="219" t="s">
        <v>460</v>
      </c>
      <c r="C158" s="137"/>
      <c r="D158" s="241">
        <v>0</v>
      </c>
      <c r="E158" s="242">
        <v>0</v>
      </c>
      <c r="F158" s="242">
        <v>0</v>
      </c>
    </row>
    <row r="159" spans="1:6" ht="24.75" customHeight="1">
      <c r="A159" s="218" t="s">
        <v>164</v>
      </c>
      <c r="B159" s="219" t="s">
        <v>461</v>
      </c>
      <c r="C159" s="137"/>
      <c r="D159" s="241">
        <v>0</v>
      </c>
      <c r="E159" s="242">
        <v>0</v>
      </c>
      <c r="F159" s="242">
        <v>0</v>
      </c>
    </row>
    <row r="160" spans="1:6" ht="24.75" customHeight="1">
      <c r="A160" s="218" t="s">
        <v>166</v>
      </c>
      <c r="B160" s="219" t="s">
        <v>462</v>
      </c>
      <c r="C160" s="137"/>
      <c r="D160" s="241">
        <v>0</v>
      </c>
      <c r="E160" s="242">
        <v>0</v>
      </c>
      <c r="F160" s="242">
        <v>0</v>
      </c>
    </row>
    <row r="161" spans="1:6" ht="24.75" customHeight="1">
      <c r="A161" s="218" t="s">
        <v>168</v>
      </c>
      <c r="B161" s="219" t="s">
        <v>463</v>
      </c>
      <c r="C161" s="137"/>
      <c r="D161" s="241">
        <v>0</v>
      </c>
      <c r="E161" s="242">
        <v>0</v>
      </c>
      <c r="F161" s="242">
        <v>0</v>
      </c>
    </row>
    <row r="162" spans="1:6" ht="24.75" customHeight="1">
      <c r="A162" s="218" t="s">
        <v>170</v>
      </c>
      <c r="B162" s="219" t="s">
        <v>464</v>
      </c>
      <c r="C162" s="137"/>
      <c r="D162" s="241">
        <v>0</v>
      </c>
      <c r="E162" s="242">
        <v>0</v>
      </c>
      <c r="F162" s="242">
        <v>0</v>
      </c>
    </row>
    <row r="163" spans="1:6" ht="24.75" customHeight="1">
      <c r="A163" s="218" t="s">
        <v>172</v>
      </c>
      <c r="B163" s="219" t="s">
        <v>465</v>
      </c>
      <c r="C163" s="137"/>
      <c r="D163" s="241">
        <v>0</v>
      </c>
      <c r="E163" s="242">
        <v>0</v>
      </c>
      <c r="F163" s="242">
        <v>0</v>
      </c>
    </row>
    <row r="164" spans="1:6" ht="24.75" customHeight="1">
      <c r="A164" s="218" t="s">
        <v>174</v>
      </c>
      <c r="B164" s="219" t="s">
        <v>466</v>
      </c>
      <c r="C164" s="137"/>
      <c r="D164" s="241">
        <v>0</v>
      </c>
      <c r="E164" s="242">
        <v>0</v>
      </c>
      <c r="F164" s="242">
        <v>0</v>
      </c>
    </row>
    <row r="165" spans="1:6" ht="24.75" customHeight="1">
      <c r="A165" s="218" t="s">
        <v>176</v>
      </c>
      <c r="B165" s="219" t="s">
        <v>467</v>
      </c>
      <c r="C165" s="137"/>
      <c r="D165" s="241">
        <v>0</v>
      </c>
      <c r="E165" s="242">
        <v>0</v>
      </c>
      <c r="F165" s="242">
        <v>0</v>
      </c>
    </row>
    <row r="166" spans="1:6" ht="24.75" customHeight="1">
      <c r="A166" s="218" t="s">
        <v>178</v>
      </c>
      <c r="B166" s="219" t="s">
        <v>468</v>
      </c>
      <c r="C166" s="137"/>
      <c r="D166" s="241">
        <v>0</v>
      </c>
      <c r="E166" s="242">
        <v>0</v>
      </c>
      <c r="F166" s="242">
        <v>0</v>
      </c>
    </row>
    <row r="167" spans="1:6" ht="24.75" customHeight="1">
      <c r="A167" s="218" t="s">
        <v>180</v>
      </c>
      <c r="B167" s="219" t="s">
        <v>469</v>
      </c>
      <c r="C167" s="137"/>
      <c r="D167" s="241">
        <v>0</v>
      </c>
      <c r="E167" s="242">
        <v>0</v>
      </c>
      <c r="F167" s="242">
        <v>0</v>
      </c>
    </row>
    <row r="168" spans="1:6" ht="24.75" customHeight="1">
      <c r="A168" s="218" t="s">
        <v>182</v>
      </c>
      <c r="B168" s="219" t="s">
        <v>470</v>
      </c>
      <c r="C168" s="137"/>
      <c r="D168" s="241">
        <v>0</v>
      </c>
      <c r="E168" s="242">
        <v>0</v>
      </c>
      <c r="F168" s="242">
        <v>0</v>
      </c>
    </row>
    <row r="169" spans="1:6" ht="24.75" customHeight="1">
      <c r="A169" s="218" t="s">
        <v>184</v>
      </c>
      <c r="B169" s="219" t="s">
        <v>471</v>
      </c>
      <c r="C169" s="137"/>
      <c r="D169" s="241">
        <v>0</v>
      </c>
      <c r="E169" s="242">
        <v>0</v>
      </c>
      <c r="F169" s="242">
        <v>0</v>
      </c>
    </row>
    <row r="170" spans="1:6" ht="24.75" customHeight="1">
      <c r="A170" s="218" t="s">
        <v>186</v>
      </c>
      <c r="B170" s="219" t="s">
        <v>472</v>
      </c>
      <c r="C170" s="137"/>
      <c r="D170" s="241">
        <v>0</v>
      </c>
      <c r="E170" s="242">
        <v>0</v>
      </c>
      <c r="F170" s="242">
        <v>0</v>
      </c>
    </row>
    <row r="171" spans="1:6" ht="24.75" customHeight="1">
      <c r="A171" s="218" t="s">
        <v>188</v>
      </c>
      <c r="B171" s="219" t="s">
        <v>473</v>
      </c>
      <c r="C171" s="137"/>
      <c r="D171" s="241">
        <v>0</v>
      </c>
      <c r="E171" s="242">
        <v>0</v>
      </c>
      <c r="F171" s="242">
        <v>0</v>
      </c>
    </row>
    <row r="172" spans="1:6" ht="24.75" customHeight="1">
      <c r="A172" s="218" t="s">
        <v>190</v>
      </c>
      <c r="B172" s="219" t="s">
        <v>474</v>
      </c>
      <c r="C172" s="137"/>
      <c r="D172" s="241">
        <v>0</v>
      </c>
      <c r="E172" s="242">
        <v>0</v>
      </c>
      <c r="F172" s="242">
        <v>0</v>
      </c>
    </row>
    <row r="173" spans="1:6" ht="24.75" customHeight="1">
      <c r="A173" s="218" t="s">
        <v>192</v>
      </c>
      <c r="B173" s="219" t="s">
        <v>475</v>
      </c>
      <c r="C173" s="137"/>
      <c r="D173" s="241">
        <v>0</v>
      </c>
      <c r="E173" s="242">
        <v>0</v>
      </c>
      <c r="F173" s="242">
        <v>0</v>
      </c>
    </row>
    <row r="174" spans="1:6" ht="24.75" customHeight="1">
      <c r="A174" s="218" t="s">
        <v>194</v>
      </c>
      <c r="B174" s="219" t="s">
        <v>476</v>
      </c>
      <c r="C174" s="137"/>
      <c r="D174" s="241">
        <v>0</v>
      </c>
      <c r="E174" s="242">
        <v>0</v>
      </c>
      <c r="F174" s="242">
        <v>0</v>
      </c>
    </row>
    <row r="175" spans="1:6" ht="24.75" customHeight="1">
      <c r="A175" s="218" t="s">
        <v>196</v>
      </c>
      <c r="B175" s="219" t="s">
        <v>477</v>
      </c>
      <c r="C175" s="137"/>
      <c r="D175" s="241">
        <v>0</v>
      </c>
      <c r="E175" s="242">
        <v>0</v>
      </c>
      <c r="F175" s="242">
        <v>0</v>
      </c>
    </row>
    <row r="176" spans="1:6" ht="24.75" customHeight="1">
      <c r="A176" s="218" t="s">
        <v>198</v>
      </c>
      <c r="B176" s="219" t="s">
        <v>478</v>
      </c>
      <c r="C176" s="137"/>
      <c r="D176" s="241">
        <v>0</v>
      </c>
      <c r="E176" s="242">
        <v>0</v>
      </c>
      <c r="F176" s="242">
        <v>0</v>
      </c>
    </row>
    <row r="177" spans="1:6" ht="24.75" customHeight="1">
      <c r="A177" s="218" t="s">
        <v>200</v>
      </c>
      <c r="B177" s="219" t="s">
        <v>479</v>
      </c>
      <c r="C177" s="137"/>
      <c r="D177" s="241">
        <v>0</v>
      </c>
      <c r="E177" s="242">
        <v>0</v>
      </c>
      <c r="F177" s="242">
        <v>0</v>
      </c>
    </row>
    <row r="178" spans="1:6" ht="24.75" customHeight="1">
      <c r="A178" s="218" t="s">
        <v>202</v>
      </c>
      <c r="B178" s="219" t="s">
        <v>480</v>
      </c>
      <c r="C178" s="137"/>
      <c r="D178" s="241">
        <v>0</v>
      </c>
      <c r="E178" s="242">
        <v>0</v>
      </c>
      <c r="F178" s="242">
        <v>0</v>
      </c>
    </row>
    <row r="179" spans="1:6" ht="24.75" customHeight="1">
      <c r="A179" s="218" t="s">
        <v>204</v>
      </c>
      <c r="B179" s="219" t="s">
        <v>481</v>
      </c>
      <c r="C179" s="137"/>
      <c r="D179" s="241">
        <v>0</v>
      </c>
      <c r="E179" s="242">
        <v>0</v>
      </c>
      <c r="F179" s="242">
        <v>0</v>
      </c>
    </row>
    <row r="180" spans="1:6" ht="24.75" customHeight="1">
      <c r="A180" s="218" t="s">
        <v>206</v>
      </c>
      <c r="B180" s="219" t="s">
        <v>482</v>
      </c>
      <c r="C180" s="137"/>
      <c r="D180" s="241">
        <v>0</v>
      </c>
      <c r="E180" s="242">
        <v>0</v>
      </c>
      <c r="F180" s="242">
        <v>0</v>
      </c>
    </row>
    <row r="181" spans="1:6" ht="24.75" customHeight="1">
      <c r="A181" s="218" t="s">
        <v>208</v>
      </c>
      <c r="B181" s="219" t="s">
        <v>483</v>
      </c>
      <c r="C181" s="137"/>
      <c r="D181" s="241">
        <v>0</v>
      </c>
      <c r="E181" s="242">
        <v>0</v>
      </c>
      <c r="F181" s="242">
        <v>0</v>
      </c>
    </row>
    <row r="182" spans="1:6" ht="13.5" customHeight="1">
      <c r="A182" s="228"/>
      <c r="B182" s="231"/>
      <c r="D182" s="232"/>
      <c r="E182" s="233"/>
      <c r="F182" s="234"/>
    </row>
  </sheetData>
  <sheetProtection password="CCF0" sheet="1"/>
  <mergeCells count="1">
    <mergeCell ref="C1:F1"/>
  </mergeCells>
  <dataValidations count="1">
    <dataValidation type="decimal" operator="equal" allowBlank="1" showInputMessage="1" showErrorMessage="1" sqref="D131:D132 D153:D181 E156:F181 E154 E104 C44:E44 C152:C155 D151 C139:C150 D103:D105 C85:C105 C46:C54 C45:D45 C41:C43 D43 E106:F152 E46:F102 E3:F42">
      <formula1>0</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G12"/>
  <sheetViews>
    <sheetView workbookViewId="0" topLeftCell="A1">
      <selection activeCell="C2" sqref="C2"/>
    </sheetView>
  </sheetViews>
  <sheetFormatPr defaultColWidth="9.140625" defaultRowHeight="12.75"/>
  <cols>
    <col min="1" max="1" width="2.8515625" style="48" customWidth="1"/>
    <col min="2" max="2" width="58.140625" style="48" customWidth="1"/>
    <col min="3" max="6" width="15.8515625" style="48" customWidth="1"/>
    <col min="7" max="16384" width="9.140625" style="48" customWidth="1"/>
  </cols>
  <sheetData>
    <row r="1" ht="6" customHeight="1" thickBot="1"/>
    <row r="2" spans="2:3" ht="25.5" customHeight="1">
      <c r="B2" s="142" t="s">
        <v>22</v>
      </c>
      <c r="C2" s="243">
        <f>'Base d''asta'!C2</f>
        <v>48</v>
      </c>
    </row>
    <row r="3" spans="2:3" ht="25.5" customHeight="1" thickBot="1">
      <c r="B3" s="141" t="s">
        <v>26</v>
      </c>
      <c r="C3" s="244">
        <f>C12+D12*C2</f>
        <v>0</v>
      </c>
    </row>
    <row r="4" spans="2:4" s="49" customFormat="1" ht="25.5" customHeight="1">
      <c r="B4" s="50"/>
      <c r="D4" s="51"/>
    </row>
    <row r="5" spans="2:4" ht="25.5" customHeight="1" thickBot="1">
      <c r="B5" s="52"/>
      <c r="C5" s="52"/>
      <c r="D5" s="52"/>
    </row>
    <row r="6" spans="2:4" ht="26.25" thickBot="1">
      <c r="B6" s="123"/>
      <c r="C6" s="111" t="s">
        <v>27</v>
      </c>
      <c r="D6" s="112" t="s">
        <v>484</v>
      </c>
    </row>
    <row r="7" spans="2:7" ht="25.5" customHeight="1">
      <c r="B7" s="126" t="s">
        <v>485</v>
      </c>
      <c r="C7" s="127">
        <f>SUM('Riepilogo Fabbisogni'!$AB$3:$AB$22)</f>
        <v>0</v>
      </c>
      <c r="D7" s="128">
        <f>SUM('Riepilogo Fabbisogni'!$AC$3:$AC$22)</f>
        <v>0</v>
      </c>
      <c r="G7" s="124"/>
    </row>
    <row r="8" spans="2:4" ht="25.5" customHeight="1">
      <c r="B8" s="129" t="s">
        <v>486</v>
      </c>
      <c r="C8" s="125">
        <f>'Riepilogo Fabbisogni'!$P$26</f>
        <v>0</v>
      </c>
      <c r="D8" s="130">
        <f>'Riepilogo Fabbisogni'!$Q$26</f>
        <v>0</v>
      </c>
    </row>
    <row r="9" spans="2:4" ht="25.5" customHeight="1">
      <c r="B9" s="131" t="s">
        <v>487</v>
      </c>
      <c r="C9" s="125">
        <f>'Riepilogo Fabbisogni'!$W$30</f>
        <v>0</v>
      </c>
      <c r="D9" s="130">
        <f>'Riepilogo Fabbisogni'!$X$30</f>
        <v>0</v>
      </c>
    </row>
    <row r="10" spans="2:4" ht="25.5" customHeight="1">
      <c r="B10" s="132" t="s">
        <v>488</v>
      </c>
      <c r="C10" s="125">
        <f>'Riepilogo Fabbisogni'!$W$34+'Riepilogo Fabbisogni'!$S$38+SUM('Riepilogo Fabbisogni'!$R$42:'Riepilogo Fabbisogni'!$R$50)+SUM('Riepilogo Fabbisogni'!$V$54:$V$73)+'Riepilogo Fabbisogni'!$U$77+SUM('Riepilogo Fabbisogni'!$R$81:$R$85)</f>
        <v>0</v>
      </c>
      <c r="D10" s="130">
        <f>'Riepilogo Fabbisogni'!$X$34+'Riepilogo Fabbisogni'!$T$38+SUM('Riepilogo Fabbisogni'!$S$42:'Riepilogo Fabbisogni'!$S$50)+SUM('Riepilogo Fabbisogni'!W$54:$W$73)+'Riepilogo Fabbisogni'!$V$77+SUM('Riepilogo Fabbisogni'!$S$81:$S$85)</f>
        <v>0</v>
      </c>
    </row>
    <row r="11" spans="2:4" ht="25.5" customHeight="1">
      <c r="B11" s="133" t="s">
        <v>489</v>
      </c>
      <c r="C11" s="125">
        <f>SUM('Riepilogo Fabbisogni'!$J$89:$J$109)+SUM('Riepilogo Fabbisogni'!$J$113:$J$117)</f>
        <v>0</v>
      </c>
      <c r="D11" s="237"/>
    </row>
    <row r="12" spans="2:4" ht="25.5" customHeight="1" thickBot="1">
      <c r="B12" s="134" t="s">
        <v>28</v>
      </c>
      <c r="C12" s="135">
        <f>SUM(C7:C11)</f>
        <v>0</v>
      </c>
      <c r="D12" s="136">
        <f>SUM(D7:D11)</f>
        <v>0</v>
      </c>
    </row>
  </sheetData>
  <sheetProtection password="CCF0" sheet="1" objects="1" scenarios="1"/>
  <dataValidations count="1">
    <dataValidation type="whole" allowBlank="1" showErrorMessage="1" sqref="C4">
      <formula1>0</formula1>
      <formula2>12</formula2>
    </dataValidation>
  </dataValidation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27"/>
  </sheetPr>
  <dimension ref="B2:L60"/>
  <sheetViews>
    <sheetView showGridLines="0" workbookViewId="0" topLeftCell="A1">
      <selection activeCell="D41" sqref="D41"/>
    </sheetView>
  </sheetViews>
  <sheetFormatPr defaultColWidth="9.140625" defaultRowHeight="12.75"/>
  <cols>
    <col min="1" max="1" width="0.85546875" style="1" customWidth="1"/>
    <col min="2" max="2" width="6.28125" style="1" customWidth="1"/>
    <col min="3" max="3" width="38.140625" style="1" bestFit="1" customWidth="1"/>
    <col min="4" max="4" width="15.8515625" style="1" customWidth="1"/>
    <col min="5" max="5" width="8.140625" style="1" customWidth="1"/>
    <col min="6" max="6" width="6.57421875" style="1" customWidth="1"/>
    <col min="7" max="8" width="16.8515625" style="1" customWidth="1"/>
    <col min="9" max="11" width="12.57421875" style="1" customWidth="1"/>
    <col min="12" max="12" width="11.140625" style="1" customWidth="1"/>
    <col min="13" max="13" width="0.85546875" style="1" customWidth="1"/>
    <col min="14" max="16384" width="9.140625" style="1" customWidth="1"/>
  </cols>
  <sheetData>
    <row r="1" ht="10.5" thickBot="1"/>
    <row r="2" spans="2:12" ht="16.5" customHeight="1" thickBot="1">
      <c r="B2" s="321" t="s">
        <v>3</v>
      </c>
      <c r="C2" s="321"/>
      <c r="D2" s="321"/>
      <c r="E2" s="321"/>
      <c r="F2" s="321"/>
      <c r="G2" s="321"/>
      <c r="H2" s="321"/>
      <c r="I2" s="321"/>
      <c r="J2" s="321"/>
      <c r="K2" s="321"/>
      <c r="L2" s="321"/>
    </row>
    <row r="3" spans="2:12" ht="15.75" customHeight="1" thickBot="1">
      <c r="B3" s="321"/>
      <c r="C3" s="321"/>
      <c r="D3" s="321"/>
      <c r="E3" s="321"/>
      <c r="F3" s="321"/>
      <c r="G3" s="321"/>
      <c r="H3" s="321"/>
      <c r="I3" s="321"/>
      <c r="J3" s="321"/>
      <c r="K3" s="321"/>
      <c r="L3" s="321"/>
    </row>
    <row r="4" spans="2:12" ht="12.75" customHeight="1" thickBot="1">
      <c r="B4" s="321"/>
      <c r="C4" s="321"/>
      <c r="D4" s="321"/>
      <c r="E4" s="321"/>
      <c r="F4" s="321"/>
      <c r="G4" s="321"/>
      <c r="H4" s="321"/>
      <c r="I4" s="321"/>
      <c r="J4" s="321"/>
      <c r="K4" s="321"/>
      <c r="L4" s="321"/>
    </row>
    <row r="5" spans="2:12" ht="12.75" customHeight="1" thickBot="1">
      <c r="B5" s="321"/>
      <c r="C5" s="321"/>
      <c r="D5" s="321"/>
      <c r="E5" s="321"/>
      <c r="F5" s="321"/>
      <c r="G5" s="321"/>
      <c r="H5" s="321"/>
      <c r="I5" s="321"/>
      <c r="J5" s="321"/>
      <c r="K5" s="321"/>
      <c r="L5" s="321"/>
    </row>
    <row r="6" spans="2:12" ht="13.5" customHeight="1">
      <c r="B6" s="20"/>
      <c r="C6" s="21"/>
      <c r="D6" s="21"/>
      <c r="E6" s="21"/>
      <c r="F6" s="21"/>
      <c r="G6" s="21"/>
      <c r="H6" s="21"/>
      <c r="I6" s="21"/>
      <c r="J6" s="21"/>
      <c r="K6" s="21"/>
      <c r="L6" s="22"/>
    </row>
    <row r="7" spans="2:12" ht="15.75" thickBot="1">
      <c r="B7" s="20"/>
      <c r="C7" s="23" t="s">
        <v>4</v>
      </c>
      <c r="D7" s="24"/>
      <c r="E7" s="24"/>
      <c r="F7" s="24"/>
      <c r="G7" s="24"/>
      <c r="H7" s="24"/>
      <c r="I7" s="24"/>
      <c r="J7" s="24"/>
      <c r="K7" s="24"/>
      <c r="L7" s="22"/>
    </row>
    <row r="8" spans="2:12" ht="15.75" thickBot="1">
      <c r="B8" s="20"/>
      <c r="C8" s="322"/>
      <c r="D8" s="322"/>
      <c r="E8" s="322"/>
      <c r="F8" s="322"/>
      <c r="G8" s="322"/>
      <c r="H8" s="322"/>
      <c r="I8" s="322"/>
      <c r="J8" s="322"/>
      <c r="K8" s="24"/>
      <c r="L8" s="22"/>
    </row>
    <row r="9" spans="2:12" ht="15">
      <c r="B9" s="20"/>
      <c r="C9" s="24"/>
      <c r="D9" s="24"/>
      <c r="E9" s="24"/>
      <c r="F9" s="24"/>
      <c r="G9" s="24"/>
      <c r="H9" s="24"/>
      <c r="I9" s="24"/>
      <c r="J9" s="24"/>
      <c r="K9" s="24"/>
      <c r="L9" s="22"/>
    </row>
    <row r="10" spans="2:12" ht="15.75" thickBot="1">
      <c r="B10" s="20"/>
      <c r="C10" s="25" t="s">
        <v>5</v>
      </c>
      <c r="D10" s="24"/>
      <c r="E10" s="24"/>
      <c r="F10" s="24"/>
      <c r="G10" s="24"/>
      <c r="H10" s="24"/>
      <c r="I10" s="24"/>
      <c r="J10" s="24"/>
      <c r="K10" s="21"/>
      <c r="L10" s="22"/>
    </row>
    <row r="11" spans="2:12" ht="12.75" thickBot="1">
      <c r="B11" s="20"/>
      <c r="C11" s="26" t="s">
        <v>6</v>
      </c>
      <c r="D11" s="318"/>
      <c r="E11" s="319"/>
      <c r="F11" s="319"/>
      <c r="G11" s="319"/>
      <c r="H11" s="319"/>
      <c r="I11" s="319"/>
      <c r="J11" s="319"/>
      <c r="K11" s="21"/>
      <c r="L11" s="22"/>
    </row>
    <row r="12" spans="2:12" ht="12.75" thickBot="1">
      <c r="B12" s="20"/>
      <c r="C12" s="26" t="s">
        <v>7</v>
      </c>
      <c r="D12" s="323"/>
      <c r="E12" s="323"/>
      <c r="F12" s="323"/>
      <c r="G12" s="323"/>
      <c r="H12" s="323"/>
      <c r="I12" s="323"/>
      <c r="J12" s="323"/>
      <c r="K12" s="21"/>
      <c r="L12" s="22"/>
    </row>
    <row r="13" spans="2:12" ht="12.75" thickBot="1">
      <c r="B13" s="20"/>
      <c r="C13" s="26" t="s">
        <v>8</v>
      </c>
      <c r="D13" s="318"/>
      <c r="E13" s="319"/>
      <c r="F13" s="319"/>
      <c r="G13" s="319"/>
      <c r="H13" s="319"/>
      <c r="I13" s="319"/>
      <c r="J13" s="319"/>
      <c r="K13" s="21"/>
      <c r="L13" s="22"/>
    </row>
    <row r="14" spans="2:12" ht="12.75" thickBot="1">
      <c r="B14" s="20"/>
      <c r="C14" s="26" t="s">
        <v>9</v>
      </c>
      <c r="D14" s="319"/>
      <c r="E14" s="319"/>
      <c r="F14" s="319"/>
      <c r="G14" s="319"/>
      <c r="H14" s="319"/>
      <c r="I14" s="319"/>
      <c r="J14" s="319"/>
      <c r="K14" s="21"/>
      <c r="L14" s="22"/>
    </row>
    <row r="15" spans="2:12" ht="12.75" thickBot="1">
      <c r="B15" s="20"/>
      <c r="C15" s="26" t="s">
        <v>10</v>
      </c>
      <c r="D15" s="319"/>
      <c r="E15" s="319"/>
      <c r="F15" s="319"/>
      <c r="G15" s="319"/>
      <c r="H15" s="319"/>
      <c r="I15" s="319"/>
      <c r="J15" s="319"/>
      <c r="K15" s="21"/>
      <c r="L15" s="22"/>
    </row>
    <row r="16" spans="2:12" ht="15.75" thickBot="1">
      <c r="B16" s="27"/>
      <c r="C16" s="29"/>
      <c r="D16" s="29"/>
      <c r="E16" s="29"/>
      <c r="F16" s="29"/>
      <c r="G16" s="29"/>
      <c r="H16" s="29"/>
      <c r="I16" s="29"/>
      <c r="J16" s="29"/>
      <c r="K16" s="29"/>
      <c r="L16" s="30"/>
    </row>
    <row r="17" spans="3:11" ht="15.75" thickBot="1">
      <c r="C17" s="15"/>
      <c r="D17" s="15"/>
      <c r="E17" s="15"/>
      <c r="F17" s="15"/>
      <c r="G17" s="15"/>
      <c r="H17" s="15"/>
      <c r="I17" s="15"/>
      <c r="J17" s="15"/>
      <c r="K17" s="15"/>
    </row>
    <row r="18" spans="2:12" ht="9.75">
      <c r="B18" s="31"/>
      <c r="C18" s="32"/>
      <c r="D18" s="32"/>
      <c r="E18" s="32"/>
      <c r="F18" s="32"/>
      <c r="G18" s="32"/>
      <c r="H18" s="32"/>
      <c r="I18" s="32"/>
      <c r="J18" s="32"/>
      <c r="K18" s="32"/>
      <c r="L18" s="33"/>
    </row>
    <row r="19" spans="2:12" ht="9.75">
      <c r="B19" s="20"/>
      <c r="C19" s="21"/>
      <c r="D19" s="21"/>
      <c r="E19" s="21"/>
      <c r="F19" s="21"/>
      <c r="G19" s="21"/>
      <c r="H19" s="21"/>
      <c r="I19" s="21"/>
      <c r="J19" s="21"/>
      <c r="K19" s="21"/>
      <c r="L19" s="22"/>
    </row>
    <row r="20" spans="2:12" ht="15">
      <c r="B20" s="20"/>
      <c r="C20" s="34" t="s">
        <v>11</v>
      </c>
      <c r="D20" s="21"/>
      <c r="E20" s="21"/>
      <c r="F20" s="21"/>
      <c r="G20" s="21"/>
      <c r="H20" s="21"/>
      <c r="I20" s="21"/>
      <c r="J20" s="21"/>
      <c r="K20" s="21"/>
      <c r="L20" s="22"/>
    </row>
    <row r="21" spans="2:12" ht="10.5" thickBot="1">
      <c r="B21" s="20"/>
      <c r="C21" s="21"/>
      <c r="D21" s="21"/>
      <c r="E21" s="21"/>
      <c r="F21" s="21"/>
      <c r="G21" s="21"/>
      <c r="H21" s="21"/>
      <c r="I21" s="21"/>
      <c r="J21" s="21"/>
      <c r="K21" s="21"/>
      <c r="L21" s="22"/>
    </row>
    <row r="22" spans="2:12" ht="11.25" customHeight="1" thickBot="1">
      <c r="B22" s="20"/>
      <c r="C22" s="320"/>
      <c r="D22" s="320"/>
      <c r="E22" s="320"/>
      <c r="F22" s="320"/>
      <c r="G22" s="320"/>
      <c r="H22" s="320"/>
      <c r="I22" s="320"/>
      <c r="J22" s="320"/>
      <c r="K22" s="320"/>
      <c r="L22" s="22"/>
    </row>
    <row r="23" spans="2:12" ht="11.25" customHeight="1" thickBot="1">
      <c r="B23" s="20"/>
      <c r="C23" s="320"/>
      <c r="D23" s="320"/>
      <c r="E23" s="320"/>
      <c r="F23" s="320"/>
      <c r="G23" s="320"/>
      <c r="H23" s="320"/>
      <c r="I23" s="320"/>
      <c r="J23" s="320"/>
      <c r="K23" s="320"/>
      <c r="L23" s="22"/>
    </row>
    <row r="24" spans="2:12" ht="11.25" customHeight="1" thickBot="1">
      <c r="B24" s="20"/>
      <c r="C24" s="320"/>
      <c r="D24" s="320"/>
      <c r="E24" s="320"/>
      <c r="F24" s="320"/>
      <c r="G24" s="320"/>
      <c r="H24" s="320"/>
      <c r="I24" s="320"/>
      <c r="J24" s="320"/>
      <c r="K24" s="320"/>
      <c r="L24" s="22"/>
    </row>
    <row r="25" spans="2:12" ht="11.25" customHeight="1" thickBot="1">
      <c r="B25" s="20"/>
      <c r="C25" s="320"/>
      <c r="D25" s="320"/>
      <c r="E25" s="320"/>
      <c r="F25" s="320"/>
      <c r="G25" s="320"/>
      <c r="H25" s="320"/>
      <c r="I25" s="320"/>
      <c r="J25" s="320"/>
      <c r="K25" s="320"/>
      <c r="L25" s="22"/>
    </row>
    <row r="26" spans="2:12" ht="11.25" customHeight="1" thickBot="1">
      <c r="B26" s="20"/>
      <c r="C26" s="320"/>
      <c r="D26" s="320"/>
      <c r="E26" s="320"/>
      <c r="F26" s="320"/>
      <c r="G26" s="320"/>
      <c r="H26" s="320"/>
      <c r="I26" s="320"/>
      <c r="J26" s="320"/>
      <c r="K26" s="320"/>
      <c r="L26" s="22"/>
    </row>
    <row r="27" spans="2:12" s="14" customFormat="1" ht="11.25" customHeight="1" thickBot="1">
      <c r="B27" s="20"/>
      <c r="C27" s="320"/>
      <c r="D27" s="320"/>
      <c r="E27" s="320"/>
      <c r="F27" s="320"/>
      <c r="G27" s="320"/>
      <c r="H27" s="320"/>
      <c r="I27" s="320"/>
      <c r="J27" s="320"/>
      <c r="K27" s="320"/>
      <c r="L27" s="22"/>
    </row>
    <row r="28" spans="2:12" s="15" customFormat="1" ht="15.75" thickBot="1">
      <c r="B28" s="20"/>
      <c r="C28" s="320"/>
      <c r="D28" s="320"/>
      <c r="E28" s="320"/>
      <c r="F28" s="320"/>
      <c r="G28" s="320"/>
      <c r="H28" s="320"/>
      <c r="I28" s="320"/>
      <c r="J28" s="320"/>
      <c r="K28" s="320"/>
      <c r="L28" s="22"/>
    </row>
    <row r="29" spans="2:12" ht="12.75" customHeight="1" thickBot="1">
      <c r="B29" s="20"/>
      <c r="C29" s="320"/>
      <c r="D29" s="320"/>
      <c r="E29" s="320"/>
      <c r="F29" s="320"/>
      <c r="G29" s="320"/>
      <c r="H29" s="320"/>
      <c r="I29" s="320"/>
      <c r="J29" s="320"/>
      <c r="K29" s="320"/>
      <c r="L29" s="22"/>
    </row>
    <row r="30" spans="2:12" ht="11.25" customHeight="1" thickBot="1">
      <c r="B30" s="20"/>
      <c r="C30" s="320"/>
      <c r="D30" s="320"/>
      <c r="E30" s="320"/>
      <c r="F30" s="320"/>
      <c r="G30" s="320"/>
      <c r="H30" s="320"/>
      <c r="I30" s="320"/>
      <c r="J30" s="320"/>
      <c r="K30" s="320"/>
      <c r="L30" s="22"/>
    </row>
    <row r="31" spans="2:12" ht="11.25" customHeight="1" thickBot="1">
      <c r="B31" s="20"/>
      <c r="C31" s="320"/>
      <c r="D31" s="320"/>
      <c r="E31" s="320"/>
      <c r="F31" s="320"/>
      <c r="G31" s="320"/>
      <c r="H31" s="320"/>
      <c r="I31" s="320"/>
      <c r="J31" s="320"/>
      <c r="K31" s="320"/>
      <c r="L31" s="22"/>
    </row>
    <row r="32" spans="2:12" ht="11.25" customHeight="1" thickBot="1">
      <c r="B32" s="20"/>
      <c r="C32" s="320"/>
      <c r="D32" s="320"/>
      <c r="E32" s="320"/>
      <c r="F32" s="320"/>
      <c r="G32" s="320"/>
      <c r="H32" s="320"/>
      <c r="I32" s="320"/>
      <c r="J32" s="320"/>
      <c r="K32" s="320"/>
      <c r="L32" s="22"/>
    </row>
    <row r="33" spans="2:12" ht="12" customHeight="1" thickBot="1">
      <c r="B33" s="20"/>
      <c r="C33" s="320"/>
      <c r="D33" s="320"/>
      <c r="E33" s="320"/>
      <c r="F33" s="320"/>
      <c r="G33" s="320"/>
      <c r="H33" s="320"/>
      <c r="I33" s="320"/>
      <c r="J33" s="320"/>
      <c r="K33" s="320"/>
      <c r="L33" s="22"/>
    </row>
    <row r="34" spans="2:12" ht="10.5" thickBot="1">
      <c r="B34" s="27"/>
      <c r="C34" s="28"/>
      <c r="D34" s="28"/>
      <c r="E34" s="28"/>
      <c r="F34" s="28"/>
      <c r="G34" s="28"/>
      <c r="H34" s="28"/>
      <c r="I34" s="28"/>
      <c r="J34" s="28"/>
      <c r="K34" s="28"/>
      <c r="L34" s="30"/>
    </row>
    <row r="37" spans="2:12" ht="16.5" customHeight="1" thickBot="1">
      <c r="B37" s="321" t="s">
        <v>12</v>
      </c>
      <c r="C37" s="321"/>
      <c r="D37" s="321"/>
      <c r="E37" s="321"/>
      <c r="F37" s="321"/>
      <c r="G37" s="321"/>
      <c r="H37" s="321"/>
      <c r="I37" s="321"/>
      <c r="J37" s="321"/>
      <c r="K37" s="321"/>
      <c r="L37" s="321"/>
    </row>
    <row r="38" spans="2:12" ht="12.75" customHeight="1" thickBot="1">
      <c r="B38" s="325" t="s">
        <v>13</v>
      </c>
      <c r="C38" s="325"/>
      <c r="D38" s="325"/>
      <c r="E38" s="325"/>
      <c r="F38" s="325"/>
      <c r="G38" s="326" t="s">
        <v>14</v>
      </c>
      <c r="H38" s="326"/>
      <c r="I38" s="326"/>
      <c r="J38" s="326"/>
      <c r="K38" s="326"/>
      <c r="L38" s="327" t="s">
        <v>15</v>
      </c>
    </row>
    <row r="39" spans="2:12" ht="12.75" customHeight="1" thickBot="1">
      <c r="B39" s="328" t="s">
        <v>16</v>
      </c>
      <c r="C39" s="330" t="s">
        <v>17</v>
      </c>
      <c r="D39" s="332" t="s">
        <v>18</v>
      </c>
      <c r="E39" s="334" t="s">
        <v>19</v>
      </c>
      <c r="F39" s="324" t="s">
        <v>20</v>
      </c>
      <c r="G39" s="335" t="s">
        <v>6</v>
      </c>
      <c r="H39" s="334" t="s">
        <v>21</v>
      </c>
      <c r="I39" s="334" t="s">
        <v>8</v>
      </c>
      <c r="J39" s="334" t="s">
        <v>9</v>
      </c>
      <c r="K39" s="324" t="s">
        <v>10</v>
      </c>
      <c r="L39" s="327"/>
    </row>
    <row r="40" spans="2:12" ht="13.5" customHeight="1" thickBot="1">
      <c r="B40" s="329"/>
      <c r="C40" s="331"/>
      <c r="D40" s="333"/>
      <c r="E40" s="334"/>
      <c r="F40" s="324"/>
      <c r="G40" s="335"/>
      <c r="H40" s="334"/>
      <c r="I40" s="334"/>
      <c r="J40" s="334"/>
      <c r="K40" s="324"/>
      <c r="L40" s="327"/>
    </row>
    <row r="41" spans="2:12" ht="12.75">
      <c r="B41" s="279">
        <v>1</v>
      </c>
      <c r="C41" s="282"/>
      <c r="D41" s="284"/>
      <c r="E41" s="53"/>
      <c r="F41" s="276"/>
      <c r="G41" s="36"/>
      <c r="H41" s="37"/>
      <c r="I41" s="35"/>
      <c r="J41" s="35"/>
      <c r="K41" s="38"/>
      <c r="L41" s="39"/>
    </row>
    <row r="42" spans="2:12" ht="12.75">
      <c r="B42" s="280">
        <v>2</v>
      </c>
      <c r="C42" s="283"/>
      <c r="D42" s="285"/>
      <c r="E42" s="53"/>
      <c r="F42" s="276"/>
      <c r="G42" s="36"/>
      <c r="H42" s="37"/>
      <c r="I42" s="35"/>
      <c r="J42" s="35"/>
      <c r="K42" s="38"/>
      <c r="L42" s="40"/>
    </row>
    <row r="43" spans="2:12" ht="12.75">
      <c r="B43" s="280">
        <v>3</v>
      </c>
      <c r="C43" s="283"/>
      <c r="D43" s="285"/>
      <c r="E43" s="53"/>
      <c r="F43" s="276"/>
      <c r="G43" s="36"/>
      <c r="H43" s="37"/>
      <c r="I43" s="35"/>
      <c r="J43" s="35"/>
      <c r="K43" s="38"/>
      <c r="L43" s="40"/>
    </row>
    <row r="44" spans="2:12" ht="12">
      <c r="B44" s="280">
        <v>4</v>
      </c>
      <c r="C44" s="283"/>
      <c r="D44" s="285"/>
      <c r="E44" s="53"/>
      <c r="F44" s="276"/>
      <c r="G44" s="36"/>
      <c r="H44" s="274"/>
      <c r="I44" s="35"/>
      <c r="J44" s="35"/>
      <c r="K44" s="38"/>
      <c r="L44" s="40"/>
    </row>
    <row r="45" spans="2:12" ht="12">
      <c r="B45" s="280">
        <v>5</v>
      </c>
      <c r="C45" s="283"/>
      <c r="D45" s="285"/>
      <c r="E45" s="53"/>
      <c r="F45" s="276"/>
      <c r="G45" s="41"/>
      <c r="H45" s="37"/>
      <c r="I45" s="35"/>
      <c r="J45" s="35"/>
      <c r="K45" s="275"/>
      <c r="L45" s="40"/>
    </row>
    <row r="46" spans="2:12" ht="12">
      <c r="B46" s="280">
        <v>6</v>
      </c>
      <c r="C46" s="283"/>
      <c r="D46" s="285"/>
      <c r="E46" s="53"/>
      <c r="F46" s="276"/>
      <c r="G46" s="41"/>
      <c r="H46" s="37"/>
      <c r="I46" s="35"/>
      <c r="J46" s="35"/>
      <c r="K46" s="42"/>
      <c r="L46" s="40"/>
    </row>
    <row r="47" spans="2:12" ht="12">
      <c r="B47" s="280">
        <v>7</v>
      </c>
      <c r="C47" s="283"/>
      <c r="D47" s="285"/>
      <c r="E47" s="53"/>
      <c r="F47" s="276"/>
      <c r="G47" s="41"/>
      <c r="H47" s="37"/>
      <c r="I47" s="37"/>
      <c r="J47" s="37"/>
      <c r="K47" s="42"/>
      <c r="L47" s="40"/>
    </row>
    <row r="48" spans="2:12" ht="12">
      <c r="B48" s="280">
        <v>8</v>
      </c>
      <c r="C48" s="283"/>
      <c r="D48" s="285"/>
      <c r="E48" s="53"/>
      <c r="F48" s="277"/>
      <c r="G48" s="41"/>
      <c r="H48" s="37"/>
      <c r="I48" s="37"/>
      <c r="J48" s="37"/>
      <c r="K48" s="42"/>
      <c r="L48" s="40"/>
    </row>
    <row r="49" spans="2:12" ht="12">
      <c r="B49" s="280">
        <v>9</v>
      </c>
      <c r="C49" s="283"/>
      <c r="D49" s="285"/>
      <c r="E49" s="53"/>
      <c r="F49" s="277"/>
      <c r="G49" s="41"/>
      <c r="H49" s="37"/>
      <c r="I49" s="37"/>
      <c r="J49" s="37"/>
      <c r="K49" s="42"/>
      <c r="L49" s="40"/>
    </row>
    <row r="50" spans="2:12" ht="12">
      <c r="B50" s="280">
        <v>10</v>
      </c>
      <c r="C50" s="283"/>
      <c r="D50" s="285"/>
      <c r="E50" s="53"/>
      <c r="F50" s="277"/>
      <c r="G50" s="41"/>
      <c r="H50" s="37"/>
      <c r="I50" s="37"/>
      <c r="J50" s="37"/>
      <c r="K50" s="42"/>
      <c r="L50" s="40"/>
    </row>
    <row r="51" spans="2:12" ht="12">
      <c r="B51" s="280">
        <v>11</v>
      </c>
      <c r="C51" s="283"/>
      <c r="D51" s="285"/>
      <c r="E51" s="53"/>
      <c r="F51" s="277"/>
      <c r="G51" s="41"/>
      <c r="H51" s="37"/>
      <c r="I51" s="37"/>
      <c r="J51" s="37"/>
      <c r="K51" s="42"/>
      <c r="L51" s="40"/>
    </row>
    <row r="52" spans="2:12" ht="12">
      <c r="B52" s="280">
        <v>12</v>
      </c>
      <c r="C52" s="283"/>
      <c r="D52" s="285"/>
      <c r="E52" s="53"/>
      <c r="F52" s="277"/>
      <c r="G52" s="41"/>
      <c r="H52" s="37"/>
      <c r="I52" s="37"/>
      <c r="J52" s="37"/>
      <c r="K52" s="42"/>
      <c r="L52" s="40"/>
    </row>
    <row r="53" spans="2:12" ht="12">
      <c r="B53" s="280">
        <v>13</v>
      </c>
      <c r="C53" s="283"/>
      <c r="D53" s="285"/>
      <c r="E53" s="53"/>
      <c r="F53" s="277"/>
      <c r="G53" s="41"/>
      <c r="H53" s="37"/>
      <c r="I53" s="37"/>
      <c r="J53" s="37"/>
      <c r="K53" s="42"/>
      <c r="L53" s="40"/>
    </row>
    <row r="54" spans="2:12" ht="12">
      <c r="B54" s="280">
        <v>14</v>
      </c>
      <c r="C54" s="283"/>
      <c r="D54" s="285"/>
      <c r="E54" s="53"/>
      <c r="F54" s="277"/>
      <c r="G54" s="41"/>
      <c r="H54" s="37"/>
      <c r="I54" s="37"/>
      <c r="J54" s="37"/>
      <c r="K54" s="42"/>
      <c r="L54" s="40"/>
    </row>
    <row r="55" spans="2:12" ht="12">
      <c r="B55" s="280">
        <v>15</v>
      </c>
      <c r="C55" s="283"/>
      <c r="D55" s="285"/>
      <c r="E55" s="53"/>
      <c r="F55" s="277"/>
      <c r="G55" s="41"/>
      <c r="H55" s="37"/>
      <c r="I55" s="37"/>
      <c r="J55" s="37"/>
      <c r="K55" s="42"/>
      <c r="L55" s="40"/>
    </row>
    <row r="56" spans="2:12" ht="12">
      <c r="B56" s="280">
        <v>16</v>
      </c>
      <c r="C56" s="283"/>
      <c r="D56" s="285"/>
      <c r="E56" s="53"/>
      <c r="F56" s="277"/>
      <c r="G56" s="41"/>
      <c r="H56" s="37"/>
      <c r="I56" s="37"/>
      <c r="J56" s="37"/>
      <c r="K56" s="42"/>
      <c r="L56" s="40"/>
    </row>
    <row r="57" spans="2:12" ht="12">
      <c r="B57" s="280">
        <v>17</v>
      </c>
      <c r="C57" s="283"/>
      <c r="D57" s="285"/>
      <c r="E57" s="53"/>
      <c r="F57" s="277"/>
      <c r="G57" s="41"/>
      <c r="H57" s="37"/>
      <c r="I57" s="37"/>
      <c r="J57" s="37"/>
      <c r="K57" s="42"/>
      <c r="L57" s="40"/>
    </row>
    <row r="58" spans="2:12" ht="12">
      <c r="B58" s="280">
        <v>18</v>
      </c>
      <c r="C58" s="283"/>
      <c r="D58" s="285"/>
      <c r="E58" s="53"/>
      <c r="F58" s="277"/>
      <c r="G58" s="41"/>
      <c r="H58" s="37"/>
      <c r="I58" s="37"/>
      <c r="J58" s="37"/>
      <c r="K58" s="42"/>
      <c r="L58" s="40"/>
    </row>
    <row r="59" spans="2:12" ht="12">
      <c r="B59" s="280">
        <v>19</v>
      </c>
      <c r="C59" s="283"/>
      <c r="D59" s="285"/>
      <c r="E59" s="53"/>
      <c r="F59" s="277"/>
      <c r="G59" s="41"/>
      <c r="H59" s="37"/>
      <c r="I59" s="37"/>
      <c r="J59" s="37"/>
      <c r="K59" s="42"/>
      <c r="L59" s="40"/>
    </row>
    <row r="60" spans="2:12" ht="12.75" thickBot="1">
      <c r="B60" s="281">
        <v>20</v>
      </c>
      <c r="C60" s="286"/>
      <c r="D60" s="287"/>
      <c r="E60" s="287"/>
      <c r="F60" s="288"/>
      <c r="G60" s="289"/>
      <c r="H60" s="287"/>
      <c r="I60" s="287"/>
      <c r="J60" s="287"/>
      <c r="K60" s="290"/>
      <c r="L60" s="291"/>
    </row>
  </sheetData>
  <sheetProtection password="CCF0" sheet="1" objects="1" scenarios="1"/>
  <mergeCells count="22">
    <mergeCell ref="H39:H40"/>
    <mergeCell ref="I39:I40"/>
    <mergeCell ref="J39:J40"/>
    <mergeCell ref="G39:G40"/>
    <mergeCell ref="K39:K40"/>
    <mergeCell ref="B37:L37"/>
    <mergeCell ref="B38:F38"/>
    <mergeCell ref="G38:K38"/>
    <mergeCell ref="L38:L40"/>
    <mergeCell ref="B39:B40"/>
    <mergeCell ref="C39:C40"/>
    <mergeCell ref="D39:D40"/>
    <mergeCell ref="E39:E40"/>
    <mergeCell ref="F39:F40"/>
    <mergeCell ref="B2:L5"/>
    <mergeCell ref="C8:J8"/>
    <mergeCell ref="D11:J11"/>
    <mergeCell ref="D12:J12"/>
    <mergeCell ref="D13:J13"/>
    <mergeCell ref="D14:J14"/>
    <mergeCell ref="D15:J15"/>
    <mergeCell ref="C22:K33"/>
  </mergeCells>
  <printOptions/>
  <pageMargins left="0.39375" right="0.39375" top="0.7875" bottom="0.7875" header="0.5118055555555555" footer="0.5118055555555555"/>
  <pageSetup horizontalDpi="300" verticalDpi="300" orientation="landscape" paperSize="9"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tabColor indexed="48"/>
    <pageSetUpPr fitToPage="1"/>
  </sheetPr>
  <dimension ref="B2:AI42"/>
  <sheetViews>
    <sheetView showGridLines="0" workbookViewId="0" topLeftCell="A1">
      <selection activeCell="X1" sqref="X1:AI16384"/>
    </sheetView>
  </sheetViews>
  <sheetFormatPr defaultColWidth="9.140625" defaultRowHeight="12.75"/>
  <cols>
    <col min="1" max="1" width="2.57421875" style="1" customWidth="1"/>
    <col min="2" max="2" width="4.8515625" style="1" customWidth="1"/>
    <col min="3" max="3" width="41.8515625" style="54" bestFit="1" customWidth="1"/>
    <col min="4" max="4" width="12.57421875" style="1" customWidth="1"/>
    <col min="5" max="5" width="11.421875" style="1" customWidth="1"/>
    <col min="6" max="14" width="10.57421875" style="1" customWidth="1"/>
    <col min="15" max="15" width="45.57421875" style="60" customWidth="1"/>
    <col min="16" max="16" width="24.8515625" style="44" customWidth="1"/>
    <col min="17" max="18" width="14.00390625" style="45" customWidth="1"/>
    <col min="19" max="19" width="9.140625" style="1" customWidth="1"/>
    <col min="20" max="20" width="16.28125" style="1" customWidth="1"/>
    <col min="21" max="23" width="9.140625" style="1" customWidth="1"/>
    <col min="24" max="24" width="8.7109375" style="1" hidden="1" customWidth="1"/>
    <col min="25" max="25" width="11.140625" style="55" hidden="1" customWidth="1"/>
    <col min="26" max="26" width="11.00390625" style="55" hidden="1" customWidth="1"/>
    <col min="27" max="29" width="8.7109375" style="55" hidden="1" customWidth="1"/>
    <col min="30" max="30" width="10.421875" style="1" hidden="1" customWidth="1"/>
    <col min="31" max="35" width="8.7109375" style="1" hidden="1" customWidth="1"/>
    <col min="36" max="36" width="8.7109375" style="1" customWidth="1"/>
    <col min="37" max="16384" width="9.140625" style="1" customWidth="1"/>
  </cols>
  <sheetData>
    <row r="1" ht="12.75" thickBot="1"/>
    <row r="2" spans="2:16" ht="26.25" customHeight="1" thickBot="1">
      <c r="B2" s="316" t="s">
        <v>24</v>
      </c>
      <c r="C2" s="314"/>
      <c r="D2" s="314" t="s">
        <v>99</v>
      </c>
      <c r="E2" s="313" t="s">
        <v>98</v>
      </c>
      <c r="F2" s="336"/>
      <c r="G2" s="336"/>
      <c r="H2" s="336"/>
      <c r="I2" s="336"/>
      <c r="J2" s="336"/>
      <c r="K2" s="336"/>
      <c r="L2" s="336"/>
      <c r="M2" s="336"/>
      <c r="N2" s="337"/>
      <c r="O2" s="338" t="s">
        <v>100</v>
      </c>
      <c r="P2" s="348" t="s">
        <v>11</v>
      </c>
    </row>
    <row r="3" spans="2:29" s="57" customFormat="1" ht="33.75" customHeight="1">
      <c r="B3" s="315"/>
      <c r="C3" s="311"/>
      <c r="D3" s="311"/>
      <c r="E3" s="341" t="s">
        <v>79</v>
      </c>
      <c r="F3" s="341" t="s">
        <v>81</v>
      </c>
      <c r="G3" s="341" t="s">
        <v>80</v>
      </c>
      <c r="H3" s="341" t="s">
        <v>23</v>
      </c>
      <c r="I3" s="341" t="s">
        <v>82</v>
      </c>
      <c r="J3" s="343" t="s">
        <v>89</v>
      </c>
      <c r="K3" s="344"/>
      <c r="L3" s="344"/>
      <c r="M3" s="344"/>
      <c r="N3" s="345"/>
      <c r="O3" s="339"/>
      <c r="P3" s="349"/>
      <c r="Y3" s="58"/>
      <c r="Z3" s="58"/>
      <c r="AA3" s="347" t="s">
        <v>95</v>
      </c>
      <c r="AB3" s="347"/>
      <c r="AC3" s="140"/>
    </row>
    <row r="4" spans="2:34" s="57" customFormat="1" ht="26.25" customHeight="1" thickBot="1">
      <c r="B4" s="66" t="s">
        <v>97</v>
      </c>
      <c r="C4" s="278" t="s">
        <v>17</v>
      </c>
      <c r="D4" s="312"/>
      <c r="E4" s="342"/>
      <c r="F4" s="342"/>
      <c r="G4" s="342"/>
      <c r="H4" s="342"/>
      <c r="I4" s="342"/>
      <c r="J4" s="67" t="s">
        <v>90</v>
      </c>
      <c r="K4" s="67" t="s">
        <v>91</v>
      </c>
      <c r="L4" s="67" t="s">
        <v>92</v>
      </c>
      <c r="M4" s="67" t="s">
        <v>93</v>
      </c>
      <c r="N4" s="67" t="s">
        <v>94</v>
      </c>
      <c r="O4" s="340"/>
      <c r="P4" s="350"/>
      <c r="Y4" s="58"/>
      <c r="Z4" s="58"/>
      <c r="AA4" s="59" t="s">
        <v>96</v>
      </c>
      <c r="AB4" s="59" t="s">
        <v>90</v>
      </c>
      <c r="AC4" s="58"/>
      <c r="AF4" s="346" t="s">
        <v>492</v>
      </c>
      <c r="AG4" s="346"/>
      <c r="AH4" s="346"/>
    </row>
    <row r="5" spans="2:35" s="44" customFormat="1" ht="12">
      <c r="B5" s="107">
        <v>1</v>
      </c>
      <c r="C5" s="74" t="str">
        <f>CONCATENATE(VLOOKUP(B5,'Dati generali-anagrafici'!$B$41:$D$60,3)," - ",VLOOKUP(B5,'Dati generali-anagrafici'!$B$41:$D$60,2))</f>
        <v> - </v>
      </c>
      <c r="D5" s="153"/>
      <c r="E5" s="154"/>
      <c r="F5" s="154"/>
      <c r="G5" s="155"/>
      <c r="H5" s="155"/>
      <c r="I5" s="155"/>
      <c r="J5" s="156"/>
      <c r="K5" s="156"/>
      <c r="L5" s="156"/>
      <c r="M5" s="156"/>
      <c r="N5" s="157"/>
      <c r="O5" s="108">
        <f>IF(D5&lt;&gt;"",IF(AND(G5="Si",VLOOKUP(D5,$Y$5:$AA$42,3,FALSE)="No"),"Errore: l'affidabilità elevata non è attivabile!",IF(AND(I5&lt;&gt;"",VLOOKUP(D5,$Y$5:$AA$42,3,FALSE)="No"),"Errore: il Backup non è attivabile!",IF(AND(OR(J5&lt;&gt;0,K5&lt;&gt;0,L5&lt;&gt;0,M5&lt;&gt;0,N5&lt;&gt;0),VLOOKUP(D5,$Y$5:$AA$42,3,FALSE)="No"),"Errore: lo SBRI non è attivabile!",IF(J5&gt;VLOOKUP(D5,$Y$5:$AB$42,4,FALSE),"Errore: N° blocchi Real Time eccessivo!",IF(SUM(J5:N5)&gt;VLOOKUP(D5,$Y$5:$AA$42,3,FALSE),"Errore: N° blocchi eccessivo!",IF(COUNTIF($E$5:$E$24,"Si")&gt;1,"Errore: il multiambito è selezionabile per una sola sede !","OK")))))),"")</f>
      </c>
      <c r="P5" s="165"/>
      <c r="Y5" s="145" t="s">
        <v>31</v>
      </c>
      <c r="Z5" s="146" t="s">
        <v>32</v>
      </c>
      <c r="AA5" s="146">
        <v>1</v>
      </c>
      <c r="AB5" s="146">
        <v>0</v>
      </c>
      <c r="AC5" s="147" t="s">
        <v>302</v>
      </c>
      <c r="AD5" s="148" t="s">
        <v>83</v>
      </c>
      <c r="AE5" s="56" t="s">
        <v>87</v>
      </c>
      <c r="AF5" s="44">
        <f>E5</f>
        <v>0</v>
      </c>
      <c r="AG5" s="80">
        <f>D5</f>
        <v>0</v>
      </c>
      <c r="AH5" s="44">
        <f>IF(ISERROR(VLOOKUP("Si",AF5:AG24,2,FALSE)),"",VLOOKUP("Si",AF5:AG24,2,FALSE))</f>
      </c>
      <c r="AI5" s="44" t="e">
        <f>VLOOKUP(AH5,Y5:AC42,5,FALSE)</f>
        <v>#N/A</v>
      </c>
    </row>
    <row r="6" spans="2:33" s="44" customFormat="1" ht="12">
      <c r="B6" s="62">
        <v>2</v>
      </c>
      <c r="C6" s="61" t="str">
        <f>CONCATENATE(VLOOKUP(B6,'Dati generali-anagrafici'!$B$41:$D$60,3)," - ",VLOOKUP(B6,'Dati generali-anagrafici'!$B$41:$D$60,2))</f>
        <v> - </v>
      </c>
      <c r="D6" s="153"/>
      <c r="E6" s="158"/>
      <c r="F6" s="158"/>
      <c r="G6" s="155"/>
      <c r="H6" s="155"/>
      <c r="I6" s="155"/>
      <c r="J6" s="159"/>
      <c r="K6" s="159"/>
      <c r="L6" s="159"/>
      <c r="M6" s="159"/>
      <c r="N6" s="160"/>
      <c r="O6" s="108">
        <f aca="true" t="shared" si="0" ref="O6:O24">IF(D6&lt;&gt;"",IF(AND(G6="Si",VLOOKUP(D6,$Y$5:$AA$42,3,FALSE)="No"),"Errore: l'affidabilità elevata non è attivabile!",IF(AND(I6&lt;&gt;"",VLOOKUP(D6,$Y$5:$AA$42,3,FALSE)="No"),"Errore: il Backup non è attivabile!",IF(AND(OR(J6&lt;&gt;0,K6&lt;&gt;0,L6&lt;&gt;0,M6&lt;&gt;0,N6&lt;&gt;0),VLOOKUP(D6,$Y$5:$AA$42,3,FALSE)="No"),"Errore: lo SBRI non è attivabile!",IF(J6&gt;VLOOKUP(D6,$Y$5:$AB$42,4,FALSE),"Errore: N° blocchi Real Time eccessivo!",IF(SUM(J6:N6)&gt;VLOOKUP(D6,$Y$5:$AA$42,3,FALSE),"Errore: N° blocchi eccessivo!",IF(COUNTIF($E$5:$E$24,"Si")&gt;1,"Errore: il multiambito è selezionabile per una sola sede !","OK")))))),"")</f>
      </c>
      <c r="P6" s="166"/>
      <c r="Y6" s="145" t="s">
        <v>33</v>
      </c>
      <c r="Z6" s="146" t="s">
        <v>32</v>
      </c>
      <c r="AA6" s="146">
        <v>1</v>
      </c>
      <c r="AB6" s="146">
        <v>0</v>
      </c>
      <c r="AC6" s="147" t="s">
        <v>304</v>
      </c>
      <c r="AD6" s="148" t="s">
        <v>84</v>
      </c>
      <c r="AE6" s="56" t="s">
        <v>88</v>
      </c>
      <c r="AF6" s="44">
        <f aca="true" t="shared" si="1" ref="AF6:AF22">E6</f>
        <v>0</v>
      </c>
      <c r="AG6" s="80">
        <f aca="true" t="shared" si="2" ref="AG6:AG22">D6</f>
        <v>0</v>
      </c>
    </row>
    <row r="7" spans="2:33" s="44" customFormat="1" ht="12">
      <c r="B7" s="63">
        <v>3</v>
      </c>
      <c r="C7" s="61" t="str">
        <f>CONCATENATE(VLOOKUP(B7,'Dati generali-anagrafici'!$B$41:$D$60,3)," - ",VLOOKUP(B7,'Dati generali-anagrafici'!$B$41:$D$60,2))</f>
        <v> - </v>
      </c>
      <c r="D7" s="153"/>
      <c r="E7" s="158"/>
      <c r="F7" s="158"/>
      <c r="G7" s="155"/>
      <c r="H7" s="155"/>
      <c r="I7" s="155"/>
      <c r="J7" s="159"/>
      <c r="K7" s="159"/>
      <c r="L7" s="159"/>
      <c r="M7" s="159"/>
      <c r="N7" s="160"/>
      <c r="O7" s="108">
        <f t="shared" si="0"/>
      </c>
      <c r="P7" s="166"/>
      <c r="Q7" s="46"/>
      <c r="Y7" s="145" t="s">
        <v>34</v>
      </c>
      <c r="Z7" s="146" t="s">
        <v>35</v>
      </c>
      <c r="AA7" s="149">
        <v>2</v>
      </c>
      <c r="AB7" s="149">
        <v>0</v>
      </c>
      <c r="AC7" s="147" t="s">
        <v>306</v>
      </c>
      <c r="AD7" s="150" t="s">
        <v>85</v>
      </c>
      <c r="AF7" s="44">
        <f t="shared" si="1"/>
        <v>0</v>
      </c>
      <c r="AG7" s="80">
        <f t="shared" si="2"/>
        <v>0</v>
      </c>
    </row>
    <row r="8" spans="2:33" s="44" customFormat="1" ht="12">
      <c r="B8" s="63">
        <v>4</v>
      </c>
      <c r="C8" s="61" t="str">
        <f>CONCATENATE(VLOOKUP(B8,'Dati generali-anagrafici'!$B$41:$D$60,3)," - ",VLOOKUP(B8,'Dati generali-anagrafici'!$B$41:$D$60,2))</f>
        <v> - </v>
      </c>
      <c r="D8" s="153"/>
      <c r="E8" s="158"/>
      <c r="F8" s="158"/>
      <c r="G8" s="155"/>
      <c r="H8" s="155"/>
      <c r="I8" s="155"/>
      <c r="J8" s="159"/>
      <c r="K8" s="159"/>
      <c r="L8" s="159"/>
      <c r="M8" s="159"/>
      <c r="N8" s="160"/>
      <c r="O8" s="108">
        <f t="shared" si="0"/>
      </c>
      <c r="P8" s="166"/>
      <c r="Q8" s="46"/>
      <c r="Y8" s="145" t="s">
        <v>36</v>
      </c>
      <c r="Z8" s="146" t="s">
        <v>35</v>
      </c>
      <c r="AA8" s="149">
        <v>2</v>
      </c>
      <c r="AB8" s="149">
        <v>0</v>
      </c>
      <c r="AC8" s="147" t="s">
        <v>308</v>
      </c>
      <c r="AD8" s="150" t="s">
        <v>86</v>
      </c>
      <c r="AF8" s="44">
        <f t="shared" si="1"/>
        <v>0</v>
      </c>
      <c r="AG8" s="80">
        <f t="shared" si="2"/>
        <v>0</v>
      </c>
    </row>
    <row r="9" spans="2:33" s="44" customFormat="1" ht="12">
      <c r="B9" s="63">
        <v>5</v>
      </c>
      <c r="C9" s="61" t="str">
        <f>CONCATENATE(VLOOKUP(B9,'Dati generali-anagrafici'!$B$41:$D$60,3)," - ",VLOOKUP(B9,'Dati generali-anagrafici'!$B$41:$D$60,2))</f>
        <v> - </v>
      </c>
      <c r="D9" s="153"/>
      <c r="E9" s="158"/>
      <c r="F9" s="158"/>
      <c r="G9" s="155"/>
      <c r="H9" s="155"/>
      <c r="I9" s="155"/>
      <c r="J9" s="159"/>
      <c r="K9" s="159"/>
      <c r="L9" s="159"/>
      <c r="M9" s="159"/>
      <c r="N9" s="160"/>
      <c r="O9" s="108">
        <f t="shared" si="0"/>
      </c>
      <c r="P9" s="166"/>
      <c r="Q9" s="46"/>
      <c r="Y9" s="145" t="s">
        <v>37</v>
      </c>
      <c r="Z9" s="146" t="s">
        <v>38</v>
      </c>
      <c r="AA9" s="149">
        <v>4</v>
      </c>
      <c r="AB9" s="149">
        <v>1</v>
      </c>
      <c r="AC9" s="147" t="s">
        <v>310</v>
      </c>
      <c r="AF9" s="44">
        <f t="shared" si="1"/>
        <v>0</v>
      </c>
      <c r="AG9" s="80">
        <f t="shared" si="2"/>
        <v>0</v>
      </c>
    </row>
    <row r="10" spans="2:33" s="44" customFormat="1" ht="12">
      <c r="B10" s="63">
        <v>6</v>
      </c>
      <c r="C10" s="61" t="str">
        <f>CONCATENATE(VLOOKUP(B10,'Dati generali-anagrafici'!$B$41:$D$60,3)," - ",VLOOKUP(B10,'Dati generali-anagrafici'!$B$41:$D$60,2))</f>
        <v> - </v>
      </c>
      <c r="D10" s="153"/>
      <c r="E10" s="158"/>
      <c r="F10" s="158"/>
      <c r="G10" s="155"/>
      <c r="H10" s="155"/>
      <c r="I10" s="155"/>
      <c r="J10" s="159"/>
      <c r="K10" s="159"/>
      <c r="L10" s="159"/>
      <c r="M10" s="159"/>
      <c r="N10" s="160"/>
      <c r="O10" s="108">
        <f t="shared" si="0"/>
      </c>
      <c r="P10" s="166"/>
      <c r="Q10" s="46"/>
      <c r="Y10" s="145" t="s">
        <v>39</v>
      </c>
      <c r="Z10" s="146" t="s">
        <v>38</v>
      </c>
      <c r="AA10" s="149">
        <v>4</v>
      </c>
      <c r="AB10" s="149">
        <v>1</v>
      </c>
      <c r="AC10" s="147" t="s">
        <v>312</v>
      </c>
      <c r="AF10" s="44">
        <f t="shared" si="1"/>
        <v>0</v>
      </c>
      <c r="AG10" s="80">
        <f t="shared" si="2"/>
        <v>0</v>
      </c>
    </row>
    <row r="11" spans="2:33" s="44" customFormat="1" ht="12">
      <c r="B11" s="63">
        <v>7</v>
      </c>
      <c r="C11" s="61" t="str">
        <f>CONCATENATE(VLOOKUP(B11,'Dati generali-anagrafici'!$B$41:$D$60,3)," - ",VLOOKUP(B11,'Dati generali-anagrafici'!$B$41:$D$60,2))</f>
        <v> - </v>
      </c>
      <c r="D11" s="153"/>
      <c r="E11" s="158"/>
      <c r="F11" s="158"/>
      <c r="G11" s="155"/>
      <c r="H11" s="155"/>
      <c r="I11" s="155"/>
      <c r="J11" s="159"/>
      <c r="K11" s="159"/>
      <c r="L11" s="159"/>
      <c r="M11" s="159"/>
      <c r="N11" s="160"/>
      <c r="O11" s="108">
        <f t="shared" si="0"/>
      </c>
      <c r="P11" s="166"/>
      <c r="Q11" s="46"/>
      <c r="Y11" s="145" t="s">
        <v>40</v>
      </c>
      <c r="Z11" s="146" t="s">
        <v>41</v>
      </c>
      <c r="AA11" s="149">
        <v>8</v>
      </c>
      <c r="AB11" s="149">
        <v>2</v>
      </c>
      <c r="AC11" s="147" t="s">
        <v>314</v>
      </c>
      <c r="AF11" s="44">
        <f t="shared" si="1"/>
        <v>0</v>
      </c>
      <c r="AG11" s="80">
        <f t="shared" si="2"/>
        <v>0</v>
      </c>
    </row>
    <row r="12" spans="2:33" s="44" customFormat="1" ht="12">
      <c r="B12" s="63">
        <v>8</v>
      </c>
      <c r="C12" s="61" t="str">
        <f>CONCATENATE(VLOOKUP(B12,'Dati generali-anagrafici'!$B$41:$D$60,3)," - ",VLOOKUP(B12,'Dati generali-anagrafici'!$B$41:$D$60,2))</f>
        <v> - </v>
      </c>
      <c r="D12" s="153"/>
      <c r="E12" s="158"/>
      <c r="F12" s="158"/>
      <c r="G12" s="155"/>
      <c r="H12" s="155"/>
      <c r="I12" s="155"/>
      <c r="J12" s="159"/>
      <c r="K12" s="159"/>
      <c r="L12" s="159"/>
      <c r="M12" s="159"/>
      <c r="N12" s="160"/>
      <c r="O12" s="108">
        <f t="shared" si="0"/>
      </c>
      <c r="P12" s="166"/>
      <c r="Q12" s="46"/>
      <c r="Y12" s="145" t="s">
        <v>42</v>
      </c>
      <c r="Z12" s="146" t="s">
        <v>41</v>
      </c>
      <c r="AA12" s="149">
        <v>8</v>
      </c>
      <c r="AB12" s="149">
        <v>2</v>
      </c>
      <c r="AC12" s="147" t="s">
        <v>316</v>
      </c>
      <c r="AF12" s="44">
        <f t="shared" si="1"/>
        <v>0</v>
      </c>
      <c r="AG12" s="80">
        <f t="shared" si="2"/>
        <v>0</v>
      </c>
    </row>
    <row r="13" spans="2:33" s="44" customFormat="1" ht="12">
      <c r="B13" s="63">
        <v>9</v>
      </c>
      <c r="C13" s="61" t="str">
        <f>CONCATENATE(VLOOKUP(B13,'Dati generali-anagrafici'!$B$41:$D$60,3)," - ",VLOOKUP(B13,'Dati generali-anagrafici'!$B$41:$D$60,2))</f>
        <v> - </v>
      </c>
      <c r="D13" s="153"/>
      <c r="E13" s="158"/>
      <c r="F13" s="158"/>
      <c r="G13" s="155"/>
      <c r="H13" s="155"/>
      <c r="I13" s="155"/>
      <c r="J13" s="159"/>
      <c r="K13" s="159"/>
      <c r="L13" s="159"/>
      <c r="M13" s="159"/>
      <c r="N13" s="160"/>
      <c r="O13" s="108">
        <f t="shared" si="0"/>
      </c>
      <c r="P13" s="166"/>
      <c r="Q13" s="46"/>
      <c r="Y13" s="151" t="s">
        <v>43</v>
      </c>
      <c r="Z13" s="146" t="s">
        <v>41</v>
      </c>
      <c r="AA13" s="149">
        <v>8</v>
      </c>
      <c r="AB13" s="149">
        <v>2</v>
      </c>
      <c r="AC13" s="147" t="s">
        <v>318</v>
      </c>
      <c r="AF13" s="44">
        <f t="shared" si="1"/>
        <v>0</v>
      </c>
      <c r="AG13" s="80">
        <f t="shared" si="2"/>
        <v>0</v>
      </c>
    </row>
    <row r="14" spans="2:33" s="44" customFormat="1" ht="12">
      <c r="B14" s="63">
        <v>10</v>
      </c>
      <c r="C14" s="61" t="str">
        <f>CONCATENATE(VLOOKUP(B14,'Dati generali-anagrafici'!$B$41:$D$60,3)," - ",VLOOKUP(B14,'Dati generali-anagrafici'!$B$41:$D$60,2))</f>
        <v> - </v>
      </c>
      <c r="D14" s="153"/>
      <c r="E14" s="158"/>
      <c r="F14" s="158"/>
      <c r="G14" s="155"/>
      <c r="H14" s="155"/>
      <c r="I14" s="155"/>
      <c r="J14" s="159"/>
      <c r="K14" s="159"/>
      <c r="L14" s="159"/>
      <c r="M14" s="159"/>
      <c r="N14" s="160"/>
      <c r="O14" s="108">
        <f t="shared" si="0"/>
      </c>
      <c r="P14" s="166"/>
      <c r="Q14" s="46"/>
      <c r="Y14" s="151" t="s">
        <v>44</v>
      </c>
      <c r="Z14" s="146" t="s">
        <v>45</v>
      </c>
      <c r="AA14" s="149">
        <v>16</v>
      </c>
      <c r="AB14" s="149">
        <v>5</v>
      </c>
      <c r="AC14" s="147" t="s">
        <v>320</v>
      </c>
      <c r="AF14" s="44">
        <f t="shared" si="1"/>
        <v>0</v>
      </c>
      <c r="AG14" s="80">
        <f t="shared" si="2"/>
        <v>0</v>
      </c>
    </row>
    <row r="15" spans="2:33" s="44" customFormat="1" ht="12">
      <c r="B15" s="63">
        <v>11</v>
      </c>
      <c r="C15" s="61" t="str">
        <f>CONCATENATE(VLOOKUP(B15,'Dati generali-anagrafici'!$B$41:$D$60,3)," - ",VLOOKUP(B15,'Dati generali-anagrafici'!$B$41:$D$60,2))</f>
        <v> - </v>
      </c>
      <c r="D15" s="153"/>
      <c r="E15" s="158"/>
      <c r="F15" s="158"/>
      <c r="G15" s="155"/>
      <c r="H15" s="155"/>
      <c r="I15" s="155"/>
      <c r="J15" s="159"/>
      <c r="K15" s="159"/>
      <c r="L15" s="159"/>
      <c r="M15" s="159"/>
      <c r="N15" s="160"/>
      <c r="O15" s="108">
        <f t="shared" si="0"/>
      </c>
      <c r="P15" s="166"/>
      <c r="Q15" s="46"/>
      <c r="Y15" s="145" t="s">
        <v>46</v>
      </c>
      <c r="Z15" s="146" t="s">
        <v>38</v>
      </c>
      <c r="AA15" s="149">
        <v>4</v>
      </c>
      <c r="AB15" s="149">
        <v>1</v>
      </c>
      <c r="AC15" s="147" t="s">
        <v>322</v>
      </c>
      <c r="AF15" s="44">
        <f t="shared" si="1"/>
        <v>0</v>
      </c>
      <c r="AG15" s="80">
        <f t="shared" si="2"/>
        <v>0</v>
      </c>
    </row>
    <row r="16" spans="2:33" s="44" customFormat="1" ht="12">
      <c r="B16" s="63">
        <v>12</v>
      </c>
      <c r="C16" s="61" t="str">
        <f>CONCATENATE(VLOOKUP(B16,'Dati generali-anagrafici'!$B$41:$D$60,3)," - ",VLOOKUP(B16,'Dati generali-anagrafici'!$B$41:$D$60,2))</f>
        <v> - </v>
      </c>
      <c r="D16" s="153"/>
      <c r="E16" s="158"/>
      <c r="F16" s="158"/>
      <c r="G16" s="155"/>
      <c r="H16" s="155"/>
      <c r="I16" s="155"/>
      <c r="J16" s="159"/>
      <c r="K16" s="159"/>
      <c r="L16" s="159"/>
      <c r="M16" s="159"/>
      <c r="N16" s="160"/>
      <c r="O16" s="108">
        <f t="shared" si="0"/>
      </c>
      <c r="P16" s="166"/>
      <c r="Q16" s="46"/>
      <c r="Y16" s="145" t="s">
        <v>47</v>
      </c>
      <c r="Z16" s="146" t="s">
        <v>48</v>
      </c>
      <c r="AA16" s="149">
        <v>6</v>
      </c>
      <c r="AB16" s="149">
        <v>2</v>
      </c>
      <c r="AC16" s="147" t="s">
        <v>324</v>
      </c>
      <c r="AF16" s="44">
        <f t="shared" si="1"/>
        <v>0</v>
      </c>
      <c r="AG16" s="80">
        <f t="shared" si="2"/>
        <v>0</v>
      </c>
    </row>
    <row r="17" spans="2:33" s="44" customFormat="1" ht="12">
      <c r="B17" s="63">
        <v>13</v>
      </c>
      <c r="C17" s="61" t="str">
        <f>CONCATENATE(VLOOKUP(B17,'Dati generali-anagrafici'!$B$41:$D$60,3)," - ",VLOOKUP(B17,'Dati generali-anagrafici'!$B$41:$D$60,2))</f>
        <v> - </v>
      </c>
      <c r="D17" s="153"/>
      <c r="E17" s="158"/>
      <c r="F17" s="158"/>
      <c r="G17" s="155"/>
      <c r="H17" s="155"/>
      <c r="I17" s="155"/>
      <c r="J17" s="159"/>
      <c r="K17" s="159"/>
      <c r="L17" s="159"/>
      <c r="M17" s="159"/>
      <c r="N17" s="160"/>
      <c r="O17" s="108">
        <f t="shared" si="0"/>
      </c>
      <c r="P17" s="166"/>
      <c r="Q17" s="46"/>
      <c r="Y17" s="145" t="s">
        <v>49</v>
      </c>
      <c r="Z17" s="146" t="s">
        <v>41</v>
      </c>
      <c r="AA17" s="149">
        <v>8</v>
      </c>
      <c r="AB17" s="149">
        <v>2</v>
      </c>
      <c r="AC17" s="147" t="s">
        <v>326</v>
      </c>
      <c r="AF17" s="44">
        <f t="shared" si="1"/>
        <v>0</v>
      </c>
      <c r="AG17" s="80">
        <f t="shared" si="2"/>
        <v>0</v>
      </c>
    </row>
    <row r="18" spans="2:33" s="44" customFormat="1" ht="12">
      <c r="B18" s="63">
        <v>14</v>
      </c>
      <c r="C18" s="61" t="str">
        <f>CONCATENATE(VLOOKUP(B18,'Dati generali-anagrafici'!$B$41:$D$60,3)," - ",VLOOKUP(B18,'Dati generali-anagrafici'!$B$41:$D$60,2))</f>
        <v> - </v>
      </c>
      <c r="D18" s="153"/>
      <c r="E18" s="158"/>
      <c r="F18" s="158"/>
      <c r="G18" s="155"/>
      <c r="H18" s="155"/>
      <c r="I18" s="155"/>
      <c r="J18" s="159"/>
      <c r="K18" s="159"/>
      <c r="L18" s="159"/>
      <c r="M18" s="159"/>
      <c r="N18" s="160"/>
      <c r="O18" s="108">
        <f t="shared" si="0"/>
      </c>
      <c r="P18" s="166"/>
      <c r="Q18" s="46"/>
      <c r="Y18" s="145" t="s">
        <v>50</v>
      </c>
      <c r="Z18" s="146" t="s">
        <v>45</v>
      </c>
      <c r="AA18" s="149">
        <v>16</v>
      </c>
      <c r="AB18" s="149">
        <v>5</v>
      </c>
      <c r="AC18" s="147" t="s">
        <v>328</v>
      </c>
      <c r="AF18" s="44">
        <f t="shared" si="1"/>
        <v>0</v>
      </c>
      <c r="AG18" s="80">
        <f t="shared" si="2"/>
        <v>0</v>
      </c>
    </row>
    <row r="19" spans="2:33" s="44" customFormat="1" ht="12">
      <c r="B19" s="63">
        <v>15</v>
      </c>
      <c r="C19" s="61" t="str">
        <f>CONCATENATE(VLOOKUP(B19,'Dati generali-anagrafici'!$B$41:$D$60,3)," - ",VLOOKUP(B19,'Dati generali-anagrafici'!$B$41:$D$60,2))</f>
        <v> - </v>
      </c>
      <c r="D19" s="153"/>
      <c r="E19" s="158"/>
      <c r="F19" s="158"/>
      <c r="G19" s="155"/>
      <c r="H19" s="155"/>
      <c r="I19" s="155"/>
      <c r="J19" s="159"/>
      <c r="K19" s="159"/>
      <c r="L19" s="159"/>
      <c r="M19" s="159"/>
      <c r="N19" s="160"/>
      <c r="O19" s="108">
        <f t="shared" si="0"/>
      </c>
      <c r="P19" s="166"/>
      <c r="Q19" s="46"/>
      <c r="Y19" s="145" t="s">
        <v>51</v>
      </c>
      <c r="Z19" s="146" t="s">
        <v>52</v>
      </c>
      <c r="AA19" s="149">
        <v>32</v>
      </c>
      <c r="AB19" s="149">
        <v>11</v>
      </c>
      <c r="AC19" s="147" t="s">
        <v>330</v>
      </c>
      <c r="AF19" s="44">
        <f t="shared" si="1"/>
        <v>0</v>
      </c>
      <c r="AG19" s="80">
        <f t="shared" si="2"/>
        <v>0</v>
      </c>
    </row>
    <row r="20" spans="2:33" s="44" customFormat="1" ht="12">
      <c r="B20" s="63">
        <v>16</v>
      </c>
      <c r="C20" s="61" t="str">
        <f>CONCATENATE(VLOOKUP(B20,'Dati generali-anagrafici'!$B$41:$D$60,3)," - ",VLOOKUP(B20,'Dati generali-anagrafici'!$B$41:$D$60,2))</f>
        <v> - </v>
      </c>
      <c r="D20" s="153"/>
      <c r="E20" s="158"/>
      <c r="F20" s="158"/>
      <c r="G20" s="155"/>
      <c r="H20" s="155"/>
      <c r="I20" s="155"/>
      <c r="J20" s="159"/>
      <c r="K20" s="159"/>
      <c r="L20" s="159"/>
      <c r="M20" s="159"/>
      <c r="N20" s="160"/>
      <c r="O20" s="108">
        <f t="shared" si="0"/>
      </c>
      <c r="P20" s="166"/>
      <c r="Q20" s="46"/>
      <c r="Y20" s="145" t="s">
        <v>53</v>
      </c>
      <c r="Z20" s="146" t="s">
        <v>54</v>
      </c>
      <c r="AA20" s="149">
        <v>64</v>
      </c>
      <c r="AB20" s="149">
        <v>22</v>
      </c>
      <c r="AC20" s="147" t="s">
        <v>332</v>
      </c>
      <c r="AF20" s="44">
        <f t="shared" si="1"/>
        <v>0</v>
      </c>
      <c r="AG20" s="80">
        <f t="shared" si="2"/>
        <v>0</v>
      </c>
    </row>
    <row r="21" spans="2:33" s="44" customFormat="1" ht="12">
      <c r="B21" s="63">
        <v>17</v>
      </c>
      <c r="C21" s="61" t="str">
        <f>CONCATENATE(VLOOKUP(B21,'Dati generali-anagrafici'!$B$41:$D$60,3)," - ",VLOOKUP(B21,'Dati generali-anagrafici'!$B$41:$D$60,2))</f>
        <v> - </v>
      </c>
      <c r="D21" s="153"/>
      <c r="E21" s="158"/>
      <c r="F21" s="158"/>
      <c r="G21" s="155"/>
      <c r="H21" s="155"/>
      <c r="I21" s="155"/>
      <c r="J21" s="159"/>
      <c r="K21" s="159"/>
      <c r="L21" s="159"/>
      <c r="M21" s="159"/>
      <c r="N21" s="160"/>
      <c r="O21" s="108">
        <f t="shared" si="0"/>
      </c>
      <c r="P21" s="166"/>
      <c r="Q21" s="46"/>
      <c r="Y21" s="152" t="s">
        <v>55</v>
      </c>
      <c r="Z21" s="146" t="s">
        <v>29</v>
      </c>
      <c r="AA21" s="149">
        <v>160</v>
      </c>
      <c r="AB21" s="149">
        <v>56</v>
      </c>
      <c r="AC21" s="56" t="s">
        <v>522</v>
      </c>
      <c r="AF21" s="44">
        <f t="shared" si="1"/>
        <v>0</v>
      </c>
      <c r="AG21" s="80">
        <f t="shared" si="2"/>
        <v>0</v>
      </c>
    </row>
    <row r="22" spans="2:33" s="44" customFormat="1" ht="12">
      <c r="B22" s="63">
        <v>18</v>
      </c>
      <c r="C22" s="61" t="str">
        <f>CONCATENATE(VLOOKUP(B22,'Dati generali-anagrafici'!$B$41:$D$60,3)," - ",VLOOKUP(B22,'Dati generali-anagrafici'!$B$41:$D$60,2))</f>
        <v> - </v>
      </c>
      <c r="D22" s="153"/>
      <c r="E22" s="158"/>
      <c r="F22" s="158"/>
      <c r="G22" s="155"/>
      <c r="H22" s="155"/>
      <c r="I22" s="155"/>
      <c r="J22" s="159"/>
      <c r="K22" s="159"/>
      <c r="L22" s="159"/>
      <c r="M22" s="159"/>
      <c r="N22" s="160"/>
      <c r="O22" s="108">
        <f t="shared" si="0"/>
      </c>
      <c r="P22" s="166"/>
      <c r="Q22" s="46"/>
      <c r="Y22" s="152" t="s">
        <v>56</v>
      </c>
      <c r="Z22" s="146" t="s">
        <v>57</v>
      </c>
      <c r="AA22" s="149">
        <v>320</v>
      </c>
      <c r="AB22" s="149">
        <v>112</v>
      </c>
      <c r="AC22" s="56" t="s">
        <v>522</v>
      </c>
      <c r="AF22" s="44">
        <f t="shared" si="1"/>
        <v>0</v>
      </c>
      <c r="AG22" s="80">
        <f t="shared" si="2"/>
        <v>0</v>
      </c>
    </row>
    <row r="23" spans="2:33" s="44" customFormat="1" ht="12">
      <c r="B23" s="63">
        <v>19</v>
      </c>
      <c r="C23" s="61" t="str">
        <f>CONCATENATE(VLOOKUP(B23,'Dati generali-anagrafici'!$B$41:$D$60,3)," - ",VLOOKUP(B23,'Dati generali-anagrafici'!$B$41:$D$60,2))</f>
        <v> - </v>
      </c>
      <c r="D23" s="153"/>
      <c r="E23" s="158"/>
      <c r="F23" s="158"/>
      <c r="G23" s="155"/>
      <c r="H23" s="155"/>
      <c r="I23" s="155"/>
      <c r="J23" s="159"/>
      <c r="K23" s="159"/>
      <c r="L23" s="159"/>
      <c r="M23" s="159"/>
      <c r="N23" s="160"/>
      <c r="O23" s="108">
        <f t="shared" si="0"/>
      </c>
      <c r="P23" s="166"/>
      <c r="Q23" s="46"/>
      <c r="Y23" s="152" t="s">
        <v>58</v>
      </c>
      <c r="Z23" s="146" t="s">
        <v>59</v>
      </c>
      <c r="AA23" s="149">
        <v>640</v>
      </c>
      <c r="AB23" s="149">
        <v>224</v>
      </c>
      <c r="AC23" s="56" t="s">
        <v>522</v>
      </c>
      <c r="AF23" s="44">
        <f>E23</f>
        <v>0</v>
      </c>
      <c r="AG23" s="80">
        <f>D23</f>
        <v>0</v>
      </c>
    </row>
    <row r="24" spans="2:33" s="44" customFormat="1" ht="12.75" thickBot="1">
      <c r="B24" s="64">
        <v>20</v>
      </c>
      <c r="C24" s="65" t="str">
        <f>CONCATENATE(VLOOKUP(B24,'Dati generali-anagrafici'!$B$41:$D$60,3)," - ",VLOOKUP(B24,'Dati generali-anagrafici'!$B$41:$D$60,2))</f>
        <v> - </v>
      </c>
      <c r="D24" s="463"/>
      <c r="E24" s="161"/>
      <c r="F24" s="161"/>
      <c r="G24" s="162"/>
      <c r="H24" s="162"/>
      <c r="I24" s="162"/>
      <c r="J24" s="163"/>
      <c r="K24" s="163"/>
      <c r="L24" s="163"/>
      <c r="M24" s="163"/>
      <c r="N24" s="164"/>
      <c r="O24" s="68">
        <f t="shared" si="0"/>
      </c>
      <c r="P24" s="167"/>
      <c r="Q24" s="46"/>
      <c r="Y24" s="152" t="s">
        <v>60</v>
      </c>
      <c r="Z24" s="146" t="s">
        <v>534</v>
      </c>
      <c r="AA24" s="149">
        <v>1600</v>
      </c>
      <c r="AB24" s="149">
        <v>560</v>
      </c>
      <c r="AC24" s="56" t="s">
        <v>522</v>
      </c>
      <c r="AF24" s="44">
        <f>E24</f>
        <v>0</v>
      </c>
      <c r="AG24" s="80">
        <f>D24</f>
        <v>0</v>
      </c>
    </row>
    <row r="25" spans="25:33" ht="12">
      <c r="Y25" s="152" t="s">
        <v>61</v>
      </c>
      <c r="Z25" s="146" t="s">
        <v>535</v>
      </c>
      <c r="AA25" s="149">
        <v>3200</v>
      </c>
      <c r="AB25" s="149">
        <v>1120</v>
      </c>
      <c r="AC25" s="56" t="s">
        <v>522</v>
      </c>
      <c r="AD25" s="44"/>
      <c r="AE25" s="44"/>
      <c r="AF25" s="44">
        <f aca="true" t="shared" si="3" ref="AF25:AF42">E25</f>
        <v>0</v>
      </c>
      <c r="AG25" s="80">
        <f aca="true" t="shared" si="4" ref="AG25:AG42">D25</f>
        <v>0</v>
      </c>
    </row>
    <row r="26" spans="25:33" ht="12">
      <c r="Y26" s="152" t="s">
        <v>62</v>
      </c>
      <c r="Z26" s="146" t="s">
        <v>536</v>
      </c>
      <c r="AA26" s="149">
        <v>4800</v>
      </c>
      <c r="AB26" s="149">
        <v>1680</v>
      </c>
      <c r="AC26" s="56" t="s">
        <v>522</v>
      </c>
      <c r="AD26" s="44"/>
      <c r="AE26" s="44"/>
      <c r="AF26" s="44">
        <f t="shared" si="3"/>
        <v>0</v>
      </c>
      <c r="AG26" s="80">
        <f t="shared" si="4"/>
        <v>0</v>
      </c>
    </row>
    <row r="27" spans="25:33" ht="12">
      <c r="Y27" s="152" t="s">
        <v>63</v>
      </c>
      <c r="Z27" s="146" t="s">
        <v>537</v>
      </c>
      <c r="AA27" s="149">
        <v>9600</v>
      </c>
      <c r="AB27" s="149">
        <v>3360</v>
      </c>
      <c r="AC27" s="56" t="s">
        <v>522</v>
      </c>
      <c r="AD27" s="44"/>
      <c r="AE27" s="44"/>
      <c r="AF27" s="44">
        <f t="shared" si="3"/>
        <v>0</v>
      </c>
      <c r="AG27" s="80">
        <f t="shared" si="4"/>
        <v>0</v>
      </c>
    </row>
    <row r="28" spans="25:33" ht="12">
      <c r="Y28" s="152" t="s">
        <v>64</v>
      </c>
      <c r="Z28" s="146" t="s">
        <v>538</v>
      </c>
      <c r="AA28" s="149">
        <v>16000</v>
      </c>
      <c r="AB28" s="149">
        <v>5600</v>
      </c>
      <c r="AC28" s="56" t="s">
        <v>522</v>
      </c>
      <c r="AD28" s="44"/>
      <c r="AE28" s="44"/>
      <c r="AF28" s="44">
        <f t="shared" si="3"/>
        <v>0</v>
      </c>
      <c r="AG28" s="80">
        <f t="shared" si="4"/>
        <v>0</v>
      </c>
    </row>
    <row r="29" spans="25:33" ht="12">
      <c r="Y29" s="152" t="s">
        <v>65</v>
      </c>
      <c r="Z29" s="146" t="s">
        <v>539</v>
      </c>
      <c r="AA29" s="149">
        <v>40000</v>
      </c>
      <c r="AB29" s="149">
        <v>14000</v>
      </c>
      <c r="AC29" s="56" t="s">
        <v>522</v>
      </c>
      <c r="AD29" s="44"/>
      <c r="AE29" s="44"/>
      <c r="AF29" s="44">
        <f t="shared" si="3"/>
        <v>0</v>
      </c>
      <c r="AG29" s="80">
        <f t="shared" si="4"/>
        <v>0</v>
      </c>
    </row>
    <row r="30" spans="25:33" ht="12">
      <c r="Y30" s="152" t="s">
        <v>66</v>
      </c>
      <c r="Z30" s="146" t="s">
        <v>540</v>
      </c>
      <c r="AA30" s="149">
        <v>80000</v>
      </c>
      <c r="AB30" s="149">
        <v>28000</v>
      </c>
      <c r="AC30" s="56" t="s">
        <v>522</v>
      </c>
      <c r="AD30" s="44"/>
      <c r="AE30" s="44"/>
      <c r="AF30" s="44">
        <f t="shared" si="3"/>
        <v>0</v>
      </c>
      <c r="AG30" s="80">
        <f t="shared" si="4"/>
        <v>0</v>
      </c>
    </row>
    <row r="31" spans="25:33" ht="12">
      <c r="Y31" s="152" t="s">
        <v>67</v>
      </c>
      <c r="Z31" s="146" t="s">
        <v>541</v>
      </c>
      <c r="AA31" s="149">
        <v>160000</v>
      </c>
      <c r="AB31" s="149">
        <v>56000</v>
      </c>
      <c r="AC31" s="56" t="s">
        <v>522</v>
      </c>
      <c r="AD31" s="44"/>
      <c r="AE31" s="44"/>
      <c r="AF31" s="44">
        <f t="shared" si="3"/>
        <v>0</v>
      </c>
      <c r="AG31" s="80">
        <f t="shared" si="4"/>
        <v>0</v>
      </c>
    </row>
    <row r="32" spans="25:33" ht="12">
      <c r="Y32" s="152" t="s">
        <v>68</v>
      </c>
      <c r="Z32" s="146" t="s">
        <v>542</v>
      </c>
      <c r="AA32" s="149" t="s">
        <v>88</v>
      </c>
      <c r="AB32" s="149">
        <v>0</v>
      </c>
      <c r="AC32" s="147" t="s">
        <v>334</v>
      </c>
      <c r="AD32" s="44"/>
      <c r="AE32" s="44"/>
      <c r="AF32" s="44">
        <f t="shared" si="3"/>
        <v>0</v>
      </c>
      <c r="AG32" s="80">
        <f t="shared" si="4"/>
        <v>0</v>
      </c>
    </row>
    <row r="33" spans="25:33" ht="12">
      <c r="Y33" s="152" t="s">
        <v>69</v>
      </c>
      <c r="Z33" s="146" t="s">
        <v>543</v>
      </c>
      <c r="AA33" s="149" t="s">
        <v>88</v>
      </c>
      <c r="AB33" s="149">
        <v>0</v>
      </c>
      <c r="AC33" s="147" t="s">
        <v>336</v>
      </c>
      <c r="AD33" s="44"/>
      <c r="AE33" s="44"/>
      <c r="AF33" s="44">
        <f t="shared" si="3"/>
        <v>0</v>
      </c>
      <c r="AG33" s="80">
        <f t="shared" si="4"/>
        <v>0</v>
      </c>
    </row>
    <row r="34" spans="25:33" ht="12">
      <c r="Y34" s="152" t="s">
        <v>70</v>
      </c>
      <c r="Z34" s="146" t="s">
        <v>544</v>
      </c>
      <c r="AA34" s="149" t="s">
        <v>88</v>
      </c>
      <c r="AB34" s="149">
        <v>0</v>
      </c>
      <c r="AC34" s="147" t="s">
        <v>338</v>
      </c>
      <c r="AD34" s="44"/>
      <c r="AE34" s="44"/>
      <c r="AF34" s="44">
        <f t="shared" si="3"/>
        <v>0</v>
      </c>
      <c r="AG34" s="80">
        <f t="shared" si="4"/>
        <v>0</v>
      </c>
    </row>
    <row r="35" spans="25:33" ht="12">
      <c r="Y35" s="145" t="s">
        <v>71</v>
      </c>
      <c r="Z35" s="146" t="s">
        <v>41</v>
      </c>
      <c r="AA35" s="149" t="s">
        <v>88</v>
      </c>
      <c r="AB35" s="149">
        <v>0</v>
      </c>
      <c r="AC35" s="147" t="s">
        <v>340</v>
      </c>
      <c r="AD35" s="44"/>
      <c r="AE35" s="44"/>
      <c r="AF35" s="44">
        <f t="shared" si="3"/>
        <v>0</v>
      </c>
      <c r="AG35" s="80">
        <f t="shared" si="4"/>
        <v>0</v>
      </c>
    </row>
    <row r="36" spans="25:33" ht="12">
      <c r="Y36" s="145" t="s">
        <v>72</v>
      </c>
      <c r="Z36" s="146" t="s">
        <v>545</v>
      </c>
      <c r="AA36" s="149" t="s">
        <v>88</v>
      </c>
      <c r="AB36" s="149">
        <v>0</v>
      </c>
      <c r="AC36" s="147" t="s">
        <v>342</v>
      </c>
      <c r="AD36" s="44"/>
      <c r="AE36" s="44"/>
      <c r="AF36" s="44">
        <f t="shared" si="3"/>
        <v>0</v>
      </c>
      <c r="AG36" s="80">
        <f t="shared" si="4"/>
        <v>0</v>
      </c>
    </row>
    <row r="37" spans="25:33" ht="12">
      <c r="Y37" s="145" t="s">
        <v>73</v>
      </c>
      <c r="Z37" s="146" t="s">
        <v>546</v>
      </c>
      <c r="AA37" s="149" t="s">
        <v>88</v>
      </c>
      <c r="AB37" s="149">
        <v>0</v>
      </c>
      <c r="AC37" s="147" t="s">
        <v>344</v>
      </c>
      <c r="AD37" s="44"/>
      <c r="AE37" s="44"/>
      <c r="AF37" s="44">
        <f t="shared" si="3"/>
        <v>0</v>
      </c>
      <c r="AG37" s="80">
        <f t="shared" si="4"/>
        <v>0</v>
      </c>
    </row>
    <row r="38" spans="25:33" ht="12">
      <c r="Y38" s="145" t="s">
        <v>74</v>
      </c>
      <c r="Z38" s="146" t="s">
        <v>547</v>
      </c>
      <c r="AA38" s="149" t="s">
        <v>88</v>
      </c>
      <c r="AB38" s="149">
        <v>0</v>
      </c>
      <c r="AC38" s="147" t="s">
        <v>346</v>
      </c>
      <c r="AD38" s="44"/>
      <c r="AE38" s="44"/>
      <c r="AF38" s="44">
        <f t="shared" si="3"/>
        <v>0</v>
      </c>
      <c r="AG38" s="80">
        <f t="shared" si="4"/>
        <v>0</v>
      </c>
    </row>
    <row r="39" spans="25:33" ht="12">
      <c r="Y39" s="145" t="s">
        <v>75</v>
      </c>
      <c r="Z39" s="146" t="s">
        <v>548</v>
      </c>
      <c r="AA39" s="149" t="s">
        <v>88</v>
      </c>
      <c r="AB39" s="149">
        <v>0</v>
      </c>
      <c r="AC39" s="56" t="s">
        <v>522</v>
      </c>
      <c r="AD39" s="44"/>
      <c r="AE39" s="44"/>
      <c r="AF39" s="44">
        <f t="shared" si="3"/>
        <v>0</v>
      </c>
      <c r="AG39" s="80">
        <f t="shared" si="4"/>
        <v>0</v>
      </c>
    </row>
    <row r="40" spans="25:33" ht="12">
      <c r="Y40" s="145" t="s">
        <v>76</v>
      </c>
      <c r="Z40" s="146" t="s">
        <v>29</v>
      </c>
      <c r="AA40" s="149" t="s">
        <v>88</v>
      </c>
      <c r="AB40" s="149">
        <v>0</v>
      </c>
      <c r="AC40" s="56" t="s">
        <v>522</v>
      </c>
      <c r="AD40" s="44"/>
      <c r="AE40" s="44"/>
      <c r="AF40" s="44">
        <f t="shared" si="3"/>
        <v>0</v>
      </c>
      <c r="AG40" s="80">
        <f t="shared" si="4"/>
        <v>0</v>
      </c>
    </row>
    <row r="41" spans="25:33" ht="12">
      <c r="Y41" s="145" t="s">
        <v>77</v>
      </c>
      <c r="Z41" s="146" t="s">
        <v>57</v>
      </c>
      <c r="AA41" s="149" t="s">
        <v>88</v>
      </c>
      <c r="AB41" s="149">
        <v>0</v>
      </c>
      <c r="AC41" s="56" t="s">
        <v>522</v>
      </c>
      <c r="AD41" s="44"/>
      <c r="AE41" s="44"/>
      <c r="AF41" s="44">
        <f t="shared" si="3"/>
        <v>0</v>
      </c>
      <c r="AG41" s="80">
        <f t="shared" si="4"/>
        <v>0</v>
      </c>
    </row>
    <row r="42" spans="25:33" ht="12">
      <c r="Y42" s="145" t="s">
        <v>78</v>
      </c>
      <c r="Z42" s="146" t="s">
        <v>549</v>
      </c>
      <c r="AA42" s="149" t="s">
        <v>88</v>
      </c>
      <c r="AB42" s="149">
        <v>0</v>
      </c>
      <c r="AC42" s="56" t="s">
        <v>522</v>
      </c>
      <c r="AD42" s="44"/>
      <c r="AE42" s="44"/>
      <c r="AF42" s="44">
        <f t="shared" si="3"/>
        <v>0</v>
      </c>
      <c r="AG42" s="80">
        <f t="shared" si="4"/>
        <v>0</v>
      </c>
    </row>
  </sheetData>
  <sheetProtection password="CCF0" sheet="1" objects="1" scenarios="1"/>
  <mergeCells count="13">
    <mergeCell ref="AF4:AH4"/>
    <mergeCell ref="H3:H4"/>
    <mergeCell ref="I3:I4"/>
    <mergeCell ref="AA3:AB3"/>
    <mergeCell ref="P2:P4"/>
    <mergeCell ref="B2:C3"/>
    <mergeCell ref="D2:D4"/>
    <mergeCell ref="E2:N2"/>
    <mergeCell ref="O2:O4"/>
    <mergeCell ref="F3:F4"/>
    <mergeCell ref="J3:N3"/>
    <mergeCell ref="E3:E4"/>
    <mergeCell ref="G3:G4"/>
  </mergeCells>
  <conditionalFormatting sqref="C5:C24">
    <cfRule type="cellIs" priority="1" dxfId="0" operator="equal" stopIfTrue="1">
      <formula>0</formula>
    </cfRule>
  </conditionalFormatting>
  <dataValidations count="4">
    <dataValidation type="list" allowBlank="1" showErrorMessage="1" sqref="E5:H24">
      <formula1>$AE$5:$AE$6</formula1>
    </dataValidation>
    <dataValidation type="list" allowBlank="1" showErrorMessage="1" sqref="I5:I24">
      <formula1>$AD$5:$AD$8</formula1>
    </dataValidation>
    <dataValidation type="whole" allowBlank="1" showInputMessage="1" showErrorMessage="1" sqref="J5:N5">
      <formula1>0</formula1>
      <formula2>160000</formula2>
    </dataValidation>
    <dataValidation type="list" allowBlank="1" showErrorMessage="1" sqref="D5:D24">
      <formula1>$Y$5:$Y$42</formula1>
    </dataValidation>
  </dataValidations>
  <printOptions/>
  <pageMargins left="0.39375" right="0.39375" top="0.39375" bottom="0.39375" header="0.31527777777777777" footer="0.5118055555555555"/>
  <pageSetup fitToHeight="0" fitToWidth="1" horizontalDpi="300" verticalDpi="300" orientation="landscape" paperSize="9" scale="64" r:id="rId1"/>
  <headerFooter alignWithMargins="0">
    <oddHeader>&amp;L&amp;"Arial,Grassetto"&amp;12SERVIZI DI TRASPORTO DATI</oddHead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sheetPr>
    <tabColor indexed="21"/>
  </sheetPr>
  <dimension ref="B2:G18"/>
  <sheetViews>
    <sheetView workbookViewId="0" topLeftCell="A1">
      <selection activeCell="D4" sqref="D4:F4"/>
    </sheetView>
  </sheetViews>
  <sheetFormatPr defaultColWidth="9.140625" defaultRowHeight="12.75"/>
  <cols>
    <col min="1" max="1" width="2.57421875" style="2" customWidth="1"/>
    <col min="2" max="3" width="8.7109375" style="2" customWidth="1"/>
    <col min="4" max="4" width="27.140625" style="2" customWidth="1"/>
    <col min="5" max="5" width="8.7109375" style="2" customWidth="1"/>
    <col min="6" max="6" width="9.57421875" style="2" customWidth="1"/>
    <col min="7" max="16384" width="8.7109375" style="2" customWidth="1"/>
  </cols>
  <sheetData>
    <row r="1" ht="12.75" thickBot="1"/>
    <row r="2" spans="2:7" ht="31.5" customHeight="1">
      <c r="B2" s="354" t="s">
        <v>25</v>
      </c>
      <c r="C2" s="354"/>
      <c r="D2" s="354"/>
      <c r="E2" s="354"/>
      <c r="F2" s="354"/>
      <c r="G2" s="354"/>
    </row>
    <row r="3" spans="2:7" ht="15.75" thickBot="1">
      <c r="B3" s="20"/>
      <c r="C3" s="21"/>
      <c r="D3" s="21"/>
      <c r="E3" s="21"/>
      <c r="F3" s="21"/>
      <c r="G3" s="43"/>
    </row>
    <row r="4" spans="2:7" ht="15.75" thickBot="1">
      <c r="B4" s="20"/>
      <c r="C4" s="21"/>
      <c r="D4" s="351"/>
      <c r="E4" s="351"/>
      <c r="F4" s="351"/>
      <c r="G4" s="43"/>
    </row>
    <row r="5" spans="2:7" ht="12">
      <c r="B5" s="20"/>
      <c r="C5" s="21"/>
      <c r="D5" s="21"/>
      <c r="E5" s="21"/>
      <c r="F5" s="21"/>
      <c r="G5" s="22"/>
    </row>
    <row r="6" spans="2:7" ht="12">
      <c r="B6" s="20"/>
      <c r="C6" s="21"/>
      <c r="D6" s="21"/>
      <c r="E6" s="21"/>
      <c r="F6" s="21"/>
      <c r="G6" s="22"/>
    </row>
    <row r="7" spans="2:7" ht="15">
      <c r="B7" s="20"/>
      <c r="C7" s="34" t="s">
        <v>11</v>
      </c>
      <c r="D7" s="21"/>
      <c r="E7" s="21"/>
      <c r="F7" s="21"/>
      <c r="G7" s="22"/>
    </row>
    <row r="8" spans="2:7" ht="12.75" thickBot="1">
      <c r="B8" s="20"/>
      <c r="C8" s="21"/>
      <c r="D8" s="21"/>
      <c r="E8" s="21"/>
      <c r="F8" s="21"/>
      <c r="G8" s="22"/>
    </row>
    <row r="9" spans="2:7" ht="12.75" thickBot="1">
      <c r="B9" s="20"/>
      <c r="C9" s="21"/>
      <c r="D9" s="352"/>
      <c r="E9" s="353"/>
      <c r="F9" s="353"/>
      <c r="G9" s="22"/>
    </row>
    <row r="10" spans="2:7" ht="12.75" thickBot="1">
      <c r="B10" s="20"/>
      <c r="C10" s="21"/>
      <c r="D10" s="353"/>
      <c r="E10" s="353"/>
      <c r="F10" s="353"/>
      <c r="G10" s="22"/>
    </row>
    <row r="11" spans="2:7" ht="12.75" thickBot="1">
      <c r="B11" s="20"/>
      <c r="C11" s="21"/>
      <c r="D11" s="353"/>
      <c r="E11" s="353"/>
      <c r="F11" s="353"/>
      <c r="G11" s="22"/>
    </row>
    <row r="12" spans="2:7" ht="12.75" thickBot="1">
      <c r="B12" s="20"/>
      <c r="C12" s="21"/>
      <c r="D12" s="353"/>
      <c r="E12" s="353"/>
      <c r="F12" s="353"/>
      <c r="G12" s="22"/>
    </row>
    <row r="13" spans="2:7" ht="12.75" thickBot="1">
      <c r="B13" s="20"/>
      <c r="C13" s="21"/>
      <c r="D13" s="353"/>
      <c r="E13" s="353"/>
      <c r="F13" s="353"/>
      <c r="G13" s="22"/>
    </row>
    <row r="14" spans="2:7" ht="12.75" thickBot="1">
      <c r="B14" s="20"/>
      <c r="C14" s="21"/>
      <c r="D14" s="353"/>
      <c r="E14" s="353"/>
      <c r="F14" s="353"/>
      <c r="G14" s="22"/>
    </row>
    <row r="15" spans="2:7" ht="12.75" thickBot="1">
      <c r="B15" s="20"/>
      <c r="C15" s="21"/>
      <c r="D15" s="353"/>
      <c r="E15" s="353"/>
      <c r="F15" s="353"/>
      <c r="G15" s="22"/>
    </row>
    <row r="16" spans="2:7" ht="12.75" thickBot="1">
      <c r="B16" s="20"/>
      <c r="C16" s="21"/>
      <c r="D16" s="353"/>
      <c r="E16" s="353"/>
      <c r="F16" s="353"/>
      <c r="G16" s="22"/>
    </row>
    <row r="17" spans="2:7" ht="12.75" thickBot="1">
      <c r="B17" s="20"/>
      <c r="C17" s="21"/>
      <c r="D17" s="353"/>
      <c r="E17" s="353"/>
      <c r="F17" s="353"/>
      <c r="G17" s="22"/>
    </row>
    <row r="18" spans="2:7" ht="12.75" thickBot="1">
      <c r="B18" s="27"/>
      <c r="C18" s="28"/>
      <c r="D18" s="28"/>
      <c r="E18" s="28"/>
      <c r="F18" s="28"/>
      <c r="G18" s="30"/>
    </row>
  </sheetData>
  <sheetProtection password="CCF0" sheet="1" objects="1" scenarios="1"/>
  <mergeCells count="3">
    <mergeCell ref="D4:F4"/>
    <mergeCell ref="D9:F17"/>
    <mergeCell ref="B2:G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B2:S23"/>
  <sheetViews>
    <sheetView showGridLines="0" workbookViewId="0" topLeftCell="A1">
      <selection activeCell="F6" sqref="F6"/>
    </sheetView>
  </sheetViews>
  <sheetFormatPr defaultColWidth="9.140625" defaultRowHeight="12.75"/>
  <cols>
    <col min="1" max="1" width="2.57421875" style="1" customWidth="1"/>
    <col min="2" max="2" width="7.57421875" style="1" customWidth="1"/>
    <col min="3" max="3" width="22.8515625" style="54" customWidth="1"/>
    <col min="4" max="9" width="12.57421875" style="1" customWidth="1"/>
    <col min="10" max="10" width="60.57421875" style="60" customWidth="1"/>
    <col min="11" max="11" width="24.8515625" style="44" customWidth="1"/>
    <col min="12" max="12" width="14.00390625" style="45" customWidth="1"/>
    <col min="13" max="14" width="9.140625" style="1" customWidth="1"/>
    <col min="15" max="15" width="9.140625" style="1" hidden="1" customWidth="1"/>
    <col min="16" max="18" width="9.140625" style="55" hidden="1" customWidth="1"/>
    <col min="19" max="19" width="9.140625" style="55" customWidth="1"/>
    <col min="20" max="16384" width="9.140625" style="1" customWidth="1"/>
  </cols>
  <sheetData>
    <row r="2" spans="5:17" ht="12.75" customHeight="1">
      <c r="E2" s="60"/>
      <c r="F2" s="44"/>
      <c r="G2" s="45"/>
      <c r="J2" s="1"/>
      <c r="K2" s="1"/>
      <c r="L2" s="55"/>
      <c r="P2" s="168"/>
      <c r="Q2" s="47"/>
    </row>
    <row r="3" spans="2:18" ht="19.5" customHeight="1">
      <c r="B3" s="359" t="s">
        <v>24</v>
      </c>
      <c r="C3" s="357"/>
      <c r="D3" s="357" t="s">
        <v>99</v>
      </c>
      <c r="E3" s="357" t="s">
        <v>98</v>
      </c>
      <c r="F3" s="357"/>
      <c r="G3" s="357"/>
      <c r="H3" s="357"/>
      <c r="I3" s="357"/>
      <c r="J3" s="355" t="s">
        <v>11</v>
      </c>
      <c r="P3" s="169" t="s">
        <v>493</v>
      </c>
      <c r="Q3" s="110" t="s">
        <v>87</v>
      </c>
      <c r="R3" s="79" t="s">
        <v>142</v>
      </c>
    </row>
    <row r="4" spans="2:18" ht="26.25" customHeight="1">
      <c r="B4" s="359"/>
      <c r="C4" s="357"/>
      <c r="D4" s="357"/>
      <c r="E4" s="357" t="s">
        <v>109</v>
      </c>
      <c r="F4" s="357" t="s">
        <v>107</v>
      </c>
      <c r="G4" s="357" t="s">
        <v>108</v>
      </c>
      <c r="H4" s="357" t="s">
        <v>80</v>
      </c>
      <c r="I4" s="357" t="s">
        <v>23</v>
      </c>
      <c r="J4" s="355"/>
      <c r="K4" s="45"/>
      <c r="L4" s="1"/>
      <c r="P4" s="169" t="s">
        <v>101</v>
      </c>
      <c r="Q4" s="110" t="s">
        <v>88</v>
      </c>
      <c r="R4" s="79">
        <v>1</v>
      </c>
    </row>
    <row r="5" spans="2:19" s="57" customFormat="1" ht="39.75" customHeight="1" thickBot="1">
      <c r="B5" s="82" t="s">
        <v>97</v>
      </c>
      <c r="C5" s="71" t="s">
        <v>17</v>
      </c>
      <c r="D5" s="358"/>
      <c r="E5" s="358"/>
      <c r="F5" s="358"/>
      <c r="G5" s="358"/>
      <c r="H5" s="358"/>
      <c r="I5" s="358"/>
      <c r="J5" s="356"/>
      <c r="P5" s="169" t="s">
        <v>102</v>
      </c>
      <c r="Q5" s="44"/>
      <c r="R5" s="79">
        <v>2</v>
      </c>
      <c r="S5" s="58"/>
    </row>
    <row r="6" spans="2:19" s="106" customFormat="1" ht="39" customHeight="1" thickBot="1">
      <c r="B6" s="170">
        <v>1</v>
      </c>
      <c r="C6" s="173" t="str">
        <f>IF(ISERROR(IF(B6="DC FSR","Data Center Fornitore",CONCATENATE(VLOOKUP(B6,'Dati generali-anagrafici'!$B$41:$D$60,3)," - ",VLOOKUP(B6,'Dati generali-anagrafici'!$B$41:$D$60,2)))),"",IF(B6="DC FSR","Data Center Fornitore",CONCATENATE(VLOOKUP(B6,'Dati generali-anagrafici'!$B$41:$D$60,3)," - ",VLOOKUP(B6,'Dati generali-anagrafici'!$B$41:$D$60,2))))</f>
        <v> - </v>
      </c>
      <c r="D6" s="171"/>
      <c r="E6" s="171"/>
      <c r="F6" s="171"/>
      <c r="G6" s="171"/>
      <c r="H6" s="171"/>
      <c r="I6" s="171"/>
      <c r="J6" s="172"/>
      <c r="P6" s="169" t="s">
        <v>103</v>
      </c>
      <c r="Q6" s="44"/>
      <c r="R6" s="79">
        <v>3</v>
      </c>
      <c r="S6" s="109"/>
    </row>
    <row r="7" spans="2:19" s="44" customFormat="1" ht="19.5" customHeight="1" thickBot="1">
      <c r="B7" s="1"/>
      <c r="C7" s="54"/>
      <c r="D7" s="1"/>
      <c r="E7" s="1"/>
      <c r="F7" s="1"/>
      <c r="G7" s="1"/>
      <c r="H7" s="1"/>
      <c r="I7" s="1"/>
      <c r="J7" s="60"/>
      <c r="P7" s="169" t="s">
        <v>104</v>
      </c>
      <c r="R7" s="79">
        <v>4</v>
      </c>
      <c r="S7" s="47"/>
    </row>
    <row r="8" spans="2:18" ht="30" customHeight="1" thickBot="1">
      <c r="B8" s="360" t="s">
        <v>100</v>
      </c>
      <c r="C8" s="361"/>
      <c r="D8" s="361"/>
      <c r="E8" s="361"/>
      <c r="F8" s="362"/>
      <c r="P8" s="169" t="s">
        <v>105</v>
      </c>
      <c r="Q8" s="44"/>
      <c r="R8" s="79">
        <v>5</v>
      </c>
    </row>
    <row r="9" spans="2:18" ht="22.5" customHeight="1" thickBot="1">
      <c r="B9" s="363" t="str">
        <f>IF(B6&lt;&gt;"DC FSR",IF(D6="SCEN","Errore: il servizio SCEN deve essere associato al Data Center del fornitore !","OK"),IF(D6&lt;&gt;"SCEN","Errore: al Data Center del fornitore è associabile solo il servizio SCEN !",IF(OR('Servizi di Trasporto Dati'!AH5="STDH-4",'Servizi di Trasporto Dati'!AH5="STDH-5",'Servizi di Trasporto Dati'!AH5="STDH-6",'Servizi di Trasporto Dati'!AH5="STDH-7",LEFT('Servizi di Trasporto Dati'!AH5,4)="STDO"),"Errore: il servizio SCEN non è attivabile per il profilo di trasporto scelto !",IF('Servizi di Trasporto Dati'!AH5="","Errore: il servizio SCEN è attivabile solo con un accesso multiambito !",IF(E6="Si","Errore: l'opzione Antivirus / Antispyware &amp; Content Filtering non è attivabile !",IF(F6="Si","Errore: l'opzione Application Filtering &amp; Monitoring non è attivabile !",IF(G6="Si","Errore: l'opzione Accesso remoto sicuro VPN non è attivabile !",IF(H6="Si","Errore: l'opzione Affidabilità elevata non è attivabile !","Ok"))))))))</f>
        <v>OK</v>
      </c>
      <c r="C9" s="364"/>
      <c r="D9" s="364"/>
      <c r="E9" s="364"/>
      <c r="F9" s="365"/>
      <c r="P9" s="169" t="s">
        <v>106</v>
      </c>
      <c r="R9" s="79">
        <v>6</v>
      </c>
    </row>
    <row r="10" spans="16:18" ht="12">
      <c r="P10" s="1"/>
      <c r="R10" s="79">
        <v>7</v>
      </c>
    </row>
    <row r="11" spans="16:18" ht="12">
      <c r="P11" s="1"/>
      <c r="R11" s="79">
        <v>8</v>
      </c>
    </row>
    <row r="12" spans="16:18" ht="12">
      <c r="P12" s="1"/>
      <c r="R12" s="79">
        <v>9</v>
      </c>
    </row>
    <row r="13" spans="16:18" ht="12">
      <c r="P13" s="1"/>
      <c r="R13" s="79">
        <v>10</v>
      </c>
    </row>
    <row r="14" spans="16:18" ht="12">
      <c r="P14" s="1"/>
      <c r="R14" s="79">
        <v>11</v>
      </c>
    </row>
    <row r="15" spans="16:18" ht="12">
      <c r="P15" s="1"/>
      <c r="R15" s="79">
        <v>12</v>
      </c>
    </row>
    <row r="16" spans="16:18" ht="12">
      <c r="P16" s="1"/>
      <c r="R16" s="79">
        <v>13</v>
      </c>
    </row>
    <row r="17" spans="16:18" ht="12">
      <c r="P17" s="1"/>
      <c r="R17" s="79">
        <v>14</v>
      </c>
    </row>
    <row r="18" spans="16:18" ht="12">
      <c r="P18" s="1"/>
      <c r="R18" s="79">
        <v>15</v>
      </c>
    </row>
    <row r="19" spans="16:18" ht="12">
      <c r="P19" s="1"/>
      <c r="R19" s="79">
        <v>16</v>
      </c>
    </row>
    <row r="20" spans="16:18" ht="12">
      <c r="P20" s="1"/>
      <c r="R20" s="79">
        <v>17</v>
      </c>
    </row>
    <row r="21" spans="16:18" ht="12">
      <c r="P21" s="1"/>
      <c r="R21" s="79">
        <v>18</v>
      </c>
    </row>
    <row r="22" spans="16:18" ht="12">
      <c r="P22" s="1"/>
      <c r="R22" s="79">
        <v>19</v>
      </c>
    </row>
    <row r="23" ht="12">
      <c r="R23" s="79">
        <v>20</v>
      </c>
    </row>
  </sheetData>
  <sheetProtection password="CCF0" sheet="1" objects="1" scenarios="1"/>
  <mergeCells count="11">
    <mergeCell ref="B3:C4"/>
    <mergeCell ref="D3:D5"/>
    <mergeCell ref="B8:F8"/>
    <mergeCell ref="B9:F9"/>
    <mergeCell ref="J3:J5"/>
    <mergeCell ref="F4:F5"/>
    <mergeCell ref="E4:E5"/>
    <mergeCell ref="H4:H5"/>
    <mergeCell ref="I4:I5"/>
    <mergeCell ref="G4:G5"/>
    <mergeCell ref="E3:I3"/>
  </mergeCells>
  <conditionalFormatting sqref="C6 B9">
    <cfRule type="cellIs" priority="1" dxfId="0" operator="equal" stopIfTrue="1">
      <formula>0</formula>
    </cfRule>
  </conditionalFormatting>
  <dataValidations count="3">
    <dataValidation type="list" allowBlank="1" showErrorMessage="1" sqref="D6">
      <formula1>$P$3:$P$9</formula1>
    </dataValidation>
    <dataValidation type="list" allowBlank="1" showInputMessage="1" showErrorMessage="1" sqref="B6">
      <formula1>$R$3:$R$23</formula1>
    </dataValidation>
    <dataValidation type="list" allowBlank="1" showErrorMessage="1" sqref="E6:I6">
      <formula1>$Q$3:$Q$4</formula1>
    </dataValidation>
  </dataValidations>
  <printOptions/>
  <pageMargins left="0.39375" right="0.39375" top="0.39375" bottom="0.39375" header="0.31527777777777777" footer="0.5118055555555555"/>
  <pageSetup fitToHeight="0" fitToWidth="1" horizontalDpi="300" verticalDpi="300" orientation="landscape" paperSize="9" scale="83" r:id="rId1"/>
  <headerFooter alignWithMargins="0">
    <oddHeader>&amp;L&amp;"Arial,Grassetto"&amp;12SERVIZI DI SICUREZZA PERIMETRALE</oddHeader>
  </headerFooter>
</worksheet>
</file>

<file path=xl/worksheets/sheet6.xml><?xml version="1.0" encoding="utf-8"?>
<worksheet xmlns="http://schemas.openxmlformats.org/spreadsheetml/2006/main" xmlns:r="http://schemas.openxmlformats.org/officeDocument/2006/relationships">
  <sheetPr>
    <tabColor indexed="17"/>
    <pageSetUpPr fitToPage="1"/>
  </sheetPr>
  <dimension ref="A2:AF109"/>
  <sheetViews>
    <sheetView showGridLines="0" workbookViewId="0" topLeftCell="A1">
      <selection activeCell="B6" sqref="B6"/>
    </sheetView>
  </sheetViews>
  <sheetFormatPr defaultColWidth="9.140625" defaultRowHeight="12.75"/>
  <cols>
    <col min="1" max="1" width="2.57421875" style="1" customWidth="1"/>
    <col min="2" max="2" width="8.8515625" style="1" customWidth="1"/>
    <col min="3" max="3" width="22.8515625" style="54" customWidth="1"/>
    <col min="4" max="12" width="10.57421875" style="1" customWidth="1"/>
    <col min="13" max="13" width="16.57421875" style="1" customWidth="1"/>
    <col min="14" max="14" width="10.140625" style="1" customWidth="1"/>
    <col min="15" max="15" width="38.140625" style="1" customWidth="1"/>
    <col min="16" max="16" width="45.8515625" style="1" customWidth="1"/>
    <col min="17" max="18" width="10.57421875" style="1" customWidth="1"/>
    <col min="19" max="19" width="10.00390625" style="1" customWidth="1"/>
    <col min="20" max="20" width="11.28125" style="1" customWidth="1"/>
    <col min="21" max="21" width="10.57421875" style="1" customWidth="1"/>
    <col min="22" max="22" width="10.57421875" style="1" hidden="1" customWidth="1"/>
    <col min="23" max="23" width="6.57421875" style="60" hidden="1" customWidth="1"/>
    <col min="24" max="24" width="8.00390625" style="44" hidden="1" customWidth="1"/>
    <col min="25" max="25" width="6.57421875" style="45" hidden="1" customWidth="1"/>
    <col min="26" max="26" width="3.00390625" style="1" hidden="1" customWidth="1"/>
    <col min="27" max="27" width="7.421875" style="1" hidden="1" customWidth="1"/>
    <col min="28" max="28" width="9.140625" style="1" hidden="1" customWidth="1"/>
    <col min="29" max="29" width="9.140625" style="55" hidden="1" customWidth="1"/>
    <col min="30" max="32" width="9.140625" style="55" customWidth="1"/>
    <col min="33" max="16384" width="9.140625" style="1" customWidth="1"/>
  </cols>
  <sheetData>
    <row r="1" ht="12.75" thickBot="1"/>
    <row r="2" spans="2:32" ht="26.25" customHeight="1">
      <c r="B2" s="382" t="s">
        <v>24</v>
      </c>
      <c r="C2" s="383"/>
      <c r="D2" s="370" t="s">
        <v>136</v>
      </c>
      <c r="E2" s="371"/>
      <c r="F2" s="371"/>
      <c r="G2" s="371"/>
      <c r="H2" s="371"/>
      <c r="I2" s="372"/>
      <c r="J2" s="370" t="s">
        <v>137</v>
      </c>
      <c r="K2" s="371"/>
      <c r="L2" s="372"/>
      <c r="M2" s="375" t="s">
        <v>100</v>
      </c>
      <c r="N2" s="376"/>
      <c r="O2" s="376"/>
      <c r="P2" s="367" t="s">
        <v>11</v>
      </c>
      <c r="R2" s="45"/>
      <c r="W2" s="169" t="s">
        <v>110</v>
      </c>
      <c r="X2" s="169" t="s">
        <v>116</v>
      </c>
      <c r="Y2" s="174" t="s">
        <v>124</v>
      </c>
      <c r="Z2" s="56" t="s">
        <v>87</v>
      </c>
      <c r="AA2" s="56" t="s">
        <v>142</v>
      </c>
      <c r="AC2" s="1"/>
      <c r="AD2" s="1"/>
      <c r="AE2" s="1"/>
      <c r="AF2" s="1"/>
    </row>
    <row r="3" spans="2:32" ht="26.25" customHeight="1">
      <c r="B3" s="384"/>
      <c r="C3" s="373"/>
      <c r="D3" s="373" t="s">
        <v>99</v>
      </c>
      <c r="E3" s="385" t="s">
        <v>495</v>
      </c>
      <c r="F3" s="373" t="s">
        <v>98</v>
      </c>
      <c r="G3" s="373"/>
      <c r="H3" s="373"/>
      <c r="I3" s="373"/>
      <c r="J3" s="373" t="s">
        <v>99</v>
      </c>
      <c r="K3" s="385" t="s">
        <v>496</v>
      </c>
      <c r="L3" s="73" t="s">
        <v>140</v>
      </c>
      <c r="M3" s="377"/>
      <c r="N3" s="378"/>
      <c r="O3" s="378"/>
      <c r="P3" s="368"/>
      <c r="R3" s="45"/>
      <c r="W3" s="169" t="s">
        <v>111</v>
      </c>
      <c r="X3" s="169" t="s">
        <v>117</v>
      </c>
      <c r="Y3" s="174" t="s">
        <v>125</v>
      </c>
      <c r="Z3" s="56" t="s">
        <v>88</v>
      </c>
      <c r="AA3" s="56">
        <v>1</v>
      </c>
      <c r="AC3" s="1"/>
      <c r="AD3" s="1"/>
      <c r="AE3" s="1"/>
      <c r="AF3" s="1"/>
    </row>
    <row r="4" spans="2:27" s="57" customFormat="1" ht="48" customHeight="1">
      <c r="B4" s="384"/>
      <c r="C4" s="373"/>
      <c r="D4" s="373"/>
      <c r="E4" s="386"/>
      <c r="F4" s="373" t="s">
        <v>497</v>
      </c>
      <c r="G4" s="373" t="s">
        <v>498</v>
      </c>
      <c r="H4" s="373" t="s">
        <v>80</v>
      </c>
      <c r="I4" s="373" t="s">
        <v>23</v>
      </c>
      <c r="J4" s="373"/>
      <c r="K4" s="386"/>
      <c r="L4" s="373" t="s">
        <v>23</v>
      </c>
      <c r="M4" s="377"/>
      <c r="N4" s="378"/>
      <c r="O4" s="378"/>
      <c r="P4" s="368"/>
      <c r="W4" s="169" t="s">
        <v>112</v>
      </c>
      <c r="X4" s="169" t="s">
        <v>118</v>
      </c>
      <c r="Y4" s="174" t="s">
        <v>126</v>
      </c>
      <c r="Z4" s="44"/>
      <c r="AA4" s="56">
        <v>2</v>
      </c>
    </row>
    <row r="5" spans="2:27" s="57" customFormat="1" ht="13.5" thickBot="1">
      <c r="B5" s="85" t="s">
        <v>97</v>
      </c>
      <c r="C5" s="75" t="s">
        <v>17</v>
      </c>
      <c r="D5" s="374"/>
      <c r="E5" s="387"/>
      <c r="F5" s="374"/>
      <c r="G5" s="374"/>
      <c r="H5" s="374"/>
      <c r="I5" s="374"/>
      <c r="J5" s="374"/>
      <c r="K5" s="387"/>
      <c r="L5" s="374"/>
      <c r="M5" s="379"/>
      <c r="N5" s="380"/>
      <c r="O5" s="380"/>
      <c r="P5" s="369"/>
      <c r="W5" s="169" t="s">
        <v>113</v>
      </c>
      <c r="X5" s="169" t="s">
        <v>119</v>
      </c>
      <c r="Y5" s="174" t="s">
        <v>127</v>
      </c>
      <c r="Z5" s="44"/>
      <c r="AA5" s="56">
        <v>3</v>
      </c>
    </row>
    <row r="6" spans="2:27" s="44" customFormat="1" ht="12.75" thickBot="1">
      <c r="B6" s="182"/>
      <c r="C6" s="83">
        <f>IF(ISERROR(IF(B6="DC FSR","Data Center Fornitore",CONCATENATE(VLOOKUP(B6,'Dati generali-anagrafici'!$B$41:$D$60,3)," - ",VLOOKUP(B6,'Dati generali-anagrafici'!$B$41:$D$60,2)))),"",IF(B6="DC FSR","Data Center Fornitore",CONCATENATE(VLOOKUP(B6,'Dati generali-anagrafici'!$B$41:$D$60,3)," - ",VLOOKUP(B6,'Dati generali-anagrafici'!$B$41:$D$60,2))))</f>
      </c>
      <c r="D6" s="183"/>
      <c r="E6" s="183"/>
      <c r="F6" s="183"/>
      <c r="G6" s="183"/>
      <c r="H6" s="183"/>
      <c r="I6" s="183"/>
      <c r="J6" s="183"/>
      <c r="K6" s="183"/>
      <c r="L6" s="183"/>
      <c r="M6" s="391" t="str">
        <f>IF(OR(AND(D6="CEIP-1",E6&gt;30),AND(D6="CEIP-2",OR(E6&lt;=30,E6&gt;100)),AND(D6="CEIP-3",OR(E6&lt;=100,E6&gt;300)),AND(D6="CEIP-4",E6&lt;=300)),"Errore: il numero di utenti non è compatibile con il profilo CEIP scelto!",IF(AND(J6&lt;&gt;"",D6=""),"Errore: il servizio Gateway è acquistabile solo se abbinato a un servizio CEIP !",IF(AND(J6&lt;&gt;"",RIGHT(D6,1)&lt;&gt;RIGHT(J6,1)),"Errore: il profilo gateway scelto non è compatibile col numero di utenze indicato !",IF(F6&gt;E6,"Errore: il numero delle utenze per la segreteria telefonica è eccessivo !","OK"))))</f>
        <v>OK</v>
      </c>
      <c r="N6" s="392"/>
      <c r="O6" s="393"/>
      <c r="P6" s="184"/>
      <c r="W6" s="175"/>
      <c r="X6" s="169" t="s">
        <v>120</v>
      </c>
      <c r="Y6" s="176"/>
      <c r="AA6" s="56">
        <v>4</v>
      </c>
    </row>
    <row r="7" spans="20:32" ht="25.5" customHeight="1" thickBot="1">
      <c r="T7" s="60"/>
      <c r="U7" s="44"/>
      <c r="V7" s="45"/>
      <c r="W7" s="177"/>
      <c r="X7" s="169" t="s">
        <v>121</v>
      </c>
      <c r="Y7" s="178"/>
      <c r="Z7" s="44"/>
      <c r="AA7" s="56">
        <v>5</v>
      </c>
      <c r="AB7" s="55"/>
      <c r="AD7" s="1"/>
      <c r="AE7" s="1"/>
      <c r="AF7" s="1"/>
    </row>
    <row r="8" spans="2:32" ht="26.25" customHeight="1">
      <c r="B8" s="382" t="s">
        <v>139</v>
      </c>
      <c r="C8" s="383"/>
      <c r="D8" s="383"/>
      <c r="E8" s="400" t="s">
        <v>100</v>
      </c>
      <c r="F8" s="400"/>
      <c r="G8" s="400"/>
      <c r="H8" s="400"/>
      <c r="I8" s="400"/>
      <c r="J8" s="400"/>
      <c r="K8" s="400"/>
      <c r="L8" s="402" t="s">
        <v>11</v>
      </c>
      <c r="M8" s="402"/>
      <c r="N8" s="403"/>
      <c r="O8" s="55"/>
      <c r="S8" s="60"/>
      <c r="T8" s="44"/>
      <c r="U8" s="45"/>
      <c r="V8" s="177"/>
      <c r="X8" s="169" t="s">
        <v>122</v>
      </c>
      <c r="Y8" s="44"/>
      <c r="AA8" s="56">
        <v>6</v>
      </c>
      <c r="AB8" s="55"/>
      <c r="AC8" s="1"/>
      <c r="AD8" s="1"/>
      <c r="AE8" s="1"/>
      <c r="AF8" s="1"/>
    </row>
    <row r="9" spans="2:32" ht="52.5" thickBot="1">
      <c r="B9" s="85" t="s">
        <v>99</v>
      </c>
      <c r="C9" s="75" t="s">
        <v>115</v>
      </c>
      <c r="D9" s="75" t="s">
        <v>141</v>
      </c>
      <c r="E9" s="401"/>
      <c r="F9" s="401"/>
      <c r="G9" s="401"/>
      <c r="H9" s="401"/>
      <c r="I9" s="401"/>
      <c r="J9" s="401"/>
      <c r="K9" s="401"/>
      <c r="L9" s="404"/>
      <c r="M9" s="404"/>
      <c r="N9" s="405"/>
      <c r="O9" s="55"/>
      <c r="S9" s="60"/>
      <c r="T9" s="44"/>
      <c r="U9" s="45"/>
      <c r="V9" s="175"/>
      <c r="X9" s="169" t="s">
        <v>123</v>
      </c>
      <c r="Y9" s="44"/>
      <c r="AA9" s="56">
        <v>7</v>
      </c>
      <c r="AB9" s="55"/>
      <c r="AC9" s="1"/>
      <c r="AD9" s="1"/>
      <c r="AE9" s="1"/>
      <c r="AF9" s="1"/>
    </row>
    <row r="10" spans="2:32" ht="12.75" customHeight="1">
      <c r="B10" s="179" t="s">
        <v>128</v>
      </c>
      <c r="C10" s="185"/>
      <c r="D10" s="154"/>
      <c r="E10" s="394" t="str">
        <f>IF(AND(C10&gt;0,$D$6=""),"Errore: il servizio ENIP è acquistabile solo se si acquista un servizio CEIP !","OK")</f>
        <v>OK</v>
      </c>
      <c r="F10" s="394"/>
      <c r="G10" s="394"/>
      <c r="H10" s="394"/>
      <c r="I10" s="394"/>
      <c r="J10" s="394"/>
      <c r="K10" s="394"/>
      <c r="L10" s="395"/>
      <c r="M10" s="395"/>
      <c r="N10" s="396"/>
      <c r="P10" s="44"/>
      <c r="R10" s="55"/>
      <c r="S10" s="55"/>
      <c r="W10" s="1"/>
      <c r="X10" s="1"/>
      <c r="Y10" s="1"/>
      <c r="AA10" s="56">
        <v>8</v>
      </c>
      <c r="AC10" s="1"/>
      <c r="AD10" s="1"/>
      <c r="AE10" s="1"/>
      <c r="AF10" s="1"/>
    </row>
    <row r="11" spans="2:32" ht="12">
      <c r="B11" s="180" t="s">
        <v>129</v>
      </c>
      <c r="C11" s="186"/>
      <c r="D11" s="158"/>
      <c r="E11" s="397" t="str">
        <f aca="true" t="shared" si="0" ref="E11:E18">IF(AND(C11&gt;0,$D$6=""),"Errore: il servizio ENIP è acquistabile solo se si acquista un servizio CEIP !","OK")</f>
        <v>OK</v>
      </c>
      <c r="F11" s="397"/>
      <c r="G11" s="397"/>
      <c r="H11" s="397"/>
      <c r="I11" s="397"/>
      <c r="J11" s="397"/>
      <c r="K11" s="397"/>
      <c r="L11" s="389"/>
      <c r="M11" s="389"/>
      <c r="N11" s="390"/>
      <c r="P11" s="55"/>
      <c r="R11" s="55"/>
      <c r="S11" s="55"/>
      <c r="W11" s="1"/>
      <c r="X11" s="1"/>
      <c r="Y11" s="1"/>
      <c r="AA11" s="56">
        <v>9</v>
      </c>
      <c r="AC11" s="1"/>
      <c r="AD11" s="1"/>
      <c r="AE11" s="1"/>
      <c r="AF11" s="1"/>
    </row>
    <row r="12" spans="2:32" ht="12" customHeight="1">
      <c r="B12" s="180" t="s">
        <v>130</v>
      </c>
      <c r="C12" s="186"/>
      <c r="D12" s="158"/>
      <c r="E12" s="397" t="str">
        <f t="shared" si="0"/>
        <v>OK</v>
      </c>
      <c r="F12" s="397"/>
      <c r="G12" s="397"/>
      <c r="H12" s="397"/>
      <c r="I12" s="397"/>
      <c r="J12" s="397"/>
      <c r="K12" s="397"/>
      <c r="L12" s="389"/>
      <c r="M12" s="389"/>
      <c r="N12" s="390"/>
      <c r="P12" s="55"/>
      <c r="R12" s="55"/>
      <c r="S12" s="55"/>
      <c r="W12" s="1"/>
      <c r="X12" s="1"/>
      <c r="Y12" s="1"/>
      <c r="AA12" s="56">
        <v>10</v>
      </c>
      <c r="AC12" s="1"/>
      <c r="AD12" s="1"/>
      <c r="AE12" s="1"/>
      <c r="AF12" s="1"/>
    </row>
    <row r="13" spans="2:32" ht="12">
      <c r="B13" s="180" t="s">
        <v>131</v>
      </c>
      <c r="C13" s="186"/>
      <c r="D13" s="158"/>
      <c r="E13" s="397" t="str">
        <f t="shared" si="0"/>
        <v>OK</v>
      </c>
      <c r="F13" s="397"/>
      <c r="G13" s="397"/>
      <c r="H13" s="397"/>
      <c r="I13" s="397"/>
      <c r="J13" s="397"/>
      <c r="K13" s="397"/>
      <c r="L13" s="389"/>
      <c r="M13" s="389"/>
      <c r="N13" s="390"/>
      <c r="P13" s="55"/>
      <c r="R13" s="55"/>
      <c r="S13" s="55"/>
      <c r="W13" s="1"/>
      <c r="X13" s="1"/>
      <c r="Y13" s="1"/>
      <c r="AA13" s="56">
        <v>11</v>
      </c>
      <c r="AC13" s="1"/>
      <c r="AD13" s="1"/>
      <c r="AE13" s="1"/>
      <c r="AF13" s="1"/>
    </row>
    <row r="14" spans="2:32" ht="12">
      <c r="B14" s="180" t="s">
        <v>132</v>
      </c>
      <c r="C14" s="186"/>
      <c r="D14" s="158"/>
      <c r="E14" s="397" t="str">
        <f t="shared" si="0"/>
        <v>OK</v>
      </c>
      <c r="F14" s="397"/>
      <c r="G14" s="397"/>
      <c r="H14" s="397"/>
      <c r="I14" s="397"/>
      <c r="J14" s="397"/>
      <c r="K14" s="397"/>
      <c r="L14" s="389"/>
      <c r="M14" s="389"/>
      <c r="N14" s="390"/>
      <c r="P14" s="55"/>
      <c r="R14" s="55"/>
      <c r="S14" s="55"/>
      <c r="W14" s="1"/>
      <c r="X14" s="1"/>
      <c r="Y14" s="1"/>
      <c r="AA14" s="56">
        <v>12</v>
      </c>
      <c r="AC14" s="1"/>
      <c r="AD14" s="1"/>
      <c r="AE14" s="1"/>
      <c r="AF14" s="1"/>
    </row>
    <row r="15" spans="2:32" ht="12">
      <c r="B15" s="180" t="s">
        <v>133</v>
      </c>
      <c r="C15" s="186"/>
      <c r="D15" s="158"/>
      <c r="E15" s="397" t="str">
        <f t="shared" si="0"/>
        <v>OK</v>
      </c>
      <c r="F15" s="397"/>
      <c r="G15" s="397"/>
      <c r="H15" s="397"/>
      <c r="I15" s="397"/>
      <c r="J15" s="397"/>
      <c r="K15" s="397"/>
      <c r="L15" s="389"/>
      <c r="M15" s="389"/>
      <c r="N15" s="390"/>
      <c r="P15" s="55"/>
      <c r="R15" s="55"/>
      <c r="S15" s="55"/>
      <c r="W15" s="1"/>
      <c r="X15" s="1"/>
      <c r="Y15" s="1"/>
      <c r="AA15" s="56">
        <v>13</v>
      </c>
      <c r="AC15" s="1"/>
      <c r="AD15" s="1"/>
      <c r="AE15" s="1"/>
      <c r="AF15" s="1"/>
    </row>
    <row r="16" spans="2:32" ht="12">
      <c r="B16" s="180" t="s">
        <v>134</v>
      </c>
      <c r="C16" s="186"/>
      <c r="D16" s="158"/>
      <c r="E16" s="397" t="str">
        <f t="shared" si="0"/>
        <v>OK</v>
      </c>
      <c r="F16" s="397"/>
      <c r="G16" s="397"/>
      <c r="H16" s="397"/>
      <c r="I16" s="397"/>
      <c r="J16" s="397"/>
      <c r="K16" s="397"/>
      <c r="L16" s="389"/>
      <c r="M16" s="389"/>
      <c r="N16" s="390"/>
      <c r="P16" s="55"/>
      <c r="R16" s="55"/>
      <c r="S16" s="55"/>
      <c r="W16" s="1"/>
      <c r="X16" s="1"/>
      <c r="Y16" s="1"/>
      <c r="AA16" s="56">
        <v>14</v>
      </c>
      <c r="AC16" s="1"/>
      <c r="AD16" s="1"/>
      <c r="AE16" s="1"/>
      <c r="AF16" s="1"/>
    </row>
    <row r="17" spans="2:32" ht="12">
      <c r="B17" s="180" t="s">
        <v>135</v>
      </c>
      <c r="C17" s="186"/>
      <c r="D17" s="187"/>
      <c r="E17" s="397" t="str">
        <f>IF(AND(C17&gt;0,$D$6=""),"Errore: il servizio ENIP è acquistabile solo se si acquista un servizio CEIP !","OK")</f>
        <v>OK</v>
      </c>
      <c r="F17" s="397"/>
      <c r="G17" s="397"/>
      <c r="H17" s="397"/>
      <c r="I17" s="397"/>
      <c r="J17" s="397"/>
      <c r="K17" s="397"/>
      <c r="L17" s="389"/>
      <c r="M17" s="389"/>
      <c r="N17" s="390"/>
      <c r="P17" s="55"/>
      <c r="R17" s="55"/>
      <c r="S17" s="55"/>
      <c r="W17" s="1"/>
      <c r="X17" s="1"/>
      <c r="Y17" s="1"/>
      <c r="AA17" s="56">
        <v>15</v>
      </c>
      <c r="AC17" s="1"/>
      <c r="AD17" s="1"/>
      <c r="AE17" s="1"/>
      <c r="AF17" s="1"/>
    </row>
    <row r="18" spans="2:32" ht="12.75" thickBot="1">
      <c r="B18" s="181" t="s">
        <v>414</v>
      </c>
      <c r="C18" s="188"/>
      <c r="D18" s="161"/>
      <c r="E18" s="388" t="str">
        <f t="shared" si="0"/>
        <v>OK</v>
      </c>
      <c r="F18" s="388"/>
      <c r="G18" s="388"/>
      <c r="H18" s="388"/>
      <c r="I18" s="388"/>
      <c r="J18" s="388"/>
      <c r="K18" s="388"/>
      <c r="L18" s="398"/>
      <c r="M18" s="398"/>
      <c r="N18" s="399"/>
      <c r="P18" s="55"/>
      <c r="R18" s="55"/>
      <c r="S18" s="55"/>
      <c r="W18" s="1"/>
      <c r="X18" s="1"/>
      <c r="Y18" s="1"/>
      <c r="AA18" s="56">
        <v>16</v>
      </c>
      <c r="AC18" s="1"/>
      <c r="AD18" s="1"/>
      <c r="AE18" s="1"/>
      <c r="AF18" s="1"/>
    </row>
    <row r="19" spans="2:32" ht="40.5" customHeight="1" thickBot="1">
      <c r="B19" s="55"/>
      <c r="C19" s="101"/>
      <c r="D19" s="55"/>
      <c r="E19" s="55"/>
      <c r="F19" s="55"/>
      <c r="G19" s="55"/>
      <c r="H19" s="55"/>
      <c r="I19" s="55"/>
      <c r="Q19" s="103"/>
      <c r="R19" s="103"/>
      <c r="S19" s="103"/>
      <c r="T19" s="55"/>
      <c r="W19" s="1"/>
      <c r="X19" s="1"/>
      <c r="Y19" s="1"/>
      <c r="AA19" s="56">
        <v>17</v>
      </c>
      <c r="AC19" s="1"/>
      <c r="AD19" s="1"/>
      <c r="AE19" s="1"/>
      <c r="AF19" s="1"/>
    </row>
    <row r="20" spans="1:32" ht="12" customHeight="1">
      <c r="A20" s="102"/>
      <c r="B20" s="382" t="s">
        <v>24</v>
      </c>
      <c r="C20" s="383"/>
      <c r="D20" s="383" t="s">
        <v>138</v>
      </c>
      <c r="E20" s="383"/>
      <c r="F20" s="383"/>
      <c r="G20" s="383"/>
      <c r="H20" s="383"/>
      <c r="I20" s="375" t="s">
        <v>100</v>
      </c>
      <c r="J20" s="376"/>
      <c r="K20" s="376"/>
      <c r="L20" s="376"/>
      <c r="M20" s="376"/>
      <c r="N20" s="376"/>
      <c r="O20" s="403" t="s">
        <v>11</v>
      </c>
      <c r="Q20" s="104"/>
      <c r="R20" s="104"/>
      <c r="S20" s="103"/>
      <c r="T20" s="55"/>
      <c r="W20" s="1"/>
      <c r="X20" s="1"/>
      <c r="Y20" s="1"/>
      <c r="AA20" s="56">
        <v>18</v>
      </c>
      <c r="AC20" s="1"/>
      <c r="AD20" s="1"/>
      <c r="AE20" s="1"/>
      <c r="AF20" s="1"/>
    </row>
    <row r="21" spans="1:32" ht="19.5" customHeight="1">
      <c r="A21" s="102"/>
      <c r="B21" s="384"/>
      <c r="C21" s="373"/>
      <c r="D21" s="373" t="s">
        <v>99</v>
      </c>
      <c r="E21" s="385" t="s">
        <v>495</v>
      </c>
      <c r="F21" s="373" t="s">
        <v>98</v>
      </c>
      <c r="G21" s="373"/>
      <c r="H21" s="373"/>
      <c r="I21" s="377"/>
      <c r="J21" s="378"/>
      <c r="K21" s="378"/>
      <c r="L21" s="378"/>
      <c r="M21" s="378"/>
      <c r="N21" s="378"/>
      <c r="O21" s="406"/>
      <c r="Q21" s="104"/>
      <c r="R21" s="104"/>
      <c r="S21" s="103"/>
      <c r="T21" s="55"/>
      <c r="W21" s="1"/>
      <c r="X21" s="1"/>
      <c r="Y21" s="1"/>
      <c r="AA21" s="56">
        <v>19</v>
      </c>
      <c r="AC21" s="1"/>
      <c r="AD21" s="1"/>
      <c r="AE21" s="1"/>
      <c r="AF21" s="1"/>
    </row>
    <row r="22" spans="1:32" ht="43.5" customHeight="1">
      <c r="A22" s="102"/>
      <c r="B22" s="384"/>
      <c r="C22" s="373"/>
      <c r="D22" s="373"/>
      <c r="E22" s="386"/>
      <c r="F22" s="373" t="s">
        <v>498</v>
      </c>
      <c r="G22" s="373" t="s">
        <v>80</v>
      </c>
      <c r="H22" s="373" t="s">
        <v>23</v>
      </c>
      <c r="I22" s="377"/>
      <c r="J22" s="378"/>
      <c r="K22" s="378"/>
      <c r="L22" s="378"/>
      <c r="M22" s="378"/>
      <c r="N22" s="378"/>
      <c r="O22" s="406"/>
      <c r="Q22" s="104"/>
      <c r="R22" s="104"/>
      <c r="S22" s="103"/>
      <c r="T22" s="55"/>
      <c r="W22" s="1"/>
      <c r="X22" s="1"/>
      <c r="Y22" s="1"/>
      <c r="AA22" s="56">
        <v>20</v>
      </c>
      <c r="AC22" s="1"/>
      <c r="AD22" s="1"/>
      <c r="AE22" s="1"/>
      <c r="AF22" s="1"/>
    </row>
    <row r="23" spans="1:32" ht="13.5" thickBot="1">
      <c r="A23" s="102"/>
      <c r="B23" s="85" t="s">
        <v>97</v>
      </c>
      <c r="C23" s="75" t="s">
        <v>17</v>
      </c>
      <c r="D23" s="374"/>
      <c r="E23" s="387"/>
      <c r="F23" s="374"/>
      <c r="G23" s="374"/>
      <c r="H23" s="374"/>
      <c r="I23" s="379"/>
      <c r="J23" s="380"/>
      <c r="K23" s="380"/>
      <c r="L23" s="380"/>
      <c r="M23" s="380"/>
      <c r="N23" s="380"/>
      <c r="O23" s="405"/>
      <c r="Q23" s="104"/>
      <c r="R23" s="104"/>
      <c r="S23" s="103"/>
      <c r="T23" s="55"/>
      <c r="W23" s="1"/>
      <c r="X23" s="1"/>
      <c r="Y23" s="1"/>
      <c r="AC23" s="1"/>
      <c r="AD23" s="1"/>
      <c r="AE23" s="1"/>
      <c r="AF23" s="1"/>
    </row>
    <row r="24" spans="1:32" ht="12">
      <c r="A24" s="102"/>
      <c r="B24" s="113">
        <v>1</v>
      </c>
      <c r="C24" s="114" t="str">
        <f>CONCATENATE(VLOOKUP(B24,'Dati generali-anagrafici'!$B$41:$D$60,3)," - ",VLOOKUP(B24,'Dati generali-anagrafici'!$B$41:$D$60,2))</f>
        <v> - </v>
      </c>
      <c r="D24" s="189"/>
      <c r="E24" s="189"/>
      <c r="F24" s="190"/>
      <c r="G24" s="189"/>
      <c r="H24" s="189"/>
      <c r="I24" s="407" t="str">
        <f aca="true" t="shared" si="1" ref="I24:I42">IF(AND(D24&lt;&gt;"",$D$6=""),"Errore: il servizio RESI è acquistabile solo se abbinato un servizio CEIP !",IF(OR(AND(D24="RESI-1",E24&gt;30),AND(D24="RESI-2",OR(E24&lt;=30,E24&gt;100)),AND(D24="RESI-3",OR(E24&lt;=100,E24&gt;300)),AND(D24="RESI-4",E24&lt;=300)),"Errore: il numero di utenti non è compatibile con il profilo RESI scelto!","OK"))</f>
        <v>OK</v>
      </c>
      <c r="J24" s="407"/>
      <c r="K24" s="407"/>
      <c r="L24" s="407"/>
      <c r="M24" s="407"/>
      <c r="N24" s="407"/>
      <c r="O24" s="191"/>
      <c r="Q24" s="105"/>
      <c r="R24" s="105"/>
      <c r="S24" s="103"/>
      <c r="T24" s="55"/>
      <c r="W24" s="1"/>
      <c r="X24" s="1"/>
      <c r="Y24" s="1"/>
      <c r="AC24" s="1"/>
      <c r="AD24" s="1"/>
      <c r="AE24" s="1"/>
      <c r="AF24" s="1"/>
    </row>
    <row r="25" spans="1:32" ht="12">
      <c r="A25" s="102"/>
      <c r="B25" s="76">
        <v>2</v>
      </c>
      <c r="C25" s="61" t="str">
        <f>CONCATENATE(VLOOKUP(B25,'Dati generali-anagrafici'!$B$41:$D$60,3)," - ",VLOOKUP(B25,'Dati generali-anagrafici'!$B$41:$D$60,2))</f>
        <v> - </v>
      </c>
      <c r="D25" s="158"/>
      <c r="E25" s="154"/>
      <c r="F25" s="158"/>
      <c r="G25" s="158"/>
      <c r="H25" s="158"/>
      <c r="I25" s="381" t="str">
        <f t="shared" si="1"/>
        <v>OK</v>
      </c>
      <c r="J25" s="381"/>
      <c r="K25" s="381"/>
      <c r="L25" s="381"/>
      <c r="M25" s="381"/>
      <c r="N25" s="381"/>
      <c r="O25" s="192"/>
      <c r="Q25" s="105"/>
      <c r="R25" s="105"/>
      <c r="S25" s="103"/>
      <c r="T25" s="55"/>
      <c r="W25" s="1"/>
      <c r="X25" s="1"/>
      <c r="Y25" s="1"/>
      <c r="AC25" s="1"/>
      <c r="AD25" s="1"/>
      <c r="AE25" s="1"/>
      <c r="AF25" s="1"/>
    </row>
    <row r="26" spans="1:32" ht="12">
      <c r="A26" s="102"/>
      <c r="B26" s="76">
        <v>3</v>
      </c>
      <c r="C26" s="61" t="str">
        <f>CONCATENATE(VLOOKUP(B26,'Dati generali-anagrafici'!$B$41:$D$60,3)," - ",VLOOKUP(B26,'Dati generali-anagrafici'!$B$41:$D$60,2))</f>
        <v> - </v>
      </c>
      <c r="D26" s="158"/>
      <c r="E26" s="158"/>
      <c r="F26" s="158"/>
      <c r="G26" s="158"/>
      <c r="H26" s="158"/>
      <c r="I26" s="381" t="str">
        <f t="shared" si="1"/>
        <v>OK</v>
      </c>
      <c r="J26" s="381"/>
      <c r="K26" s="381"/>
      <c r="L26" s="381"/>
      <c r="M26" s="381"/>
      <c r="N26" s="381"/>
      <c r="O26" s="192"/>
      <c r="Q26" s="105"/>
      <c r="R26" s="105"/>
      <c r="S26" s="103"/>
      <c r="T26" s="55"/>
      <c r="W26" s="1"/>
      <c r="X26" s="1"/>
      <c r="Y26" s="1"/>
      <c r="AC26" s="1"/>
      <c r="AD26" s="1"/>
      <c r="AE26" s="1"/>
      <c r="AF26" s="1"/>
    </row>
    <row r="27" spans="1:32" ht="12">
      <c r="A27" s="102"/>
      <c r="B27" s="76">
        <v>4</v>
      </c>
      <c r="C27" s="61" t="str">
        <f>CONCATENATE(VLOOKUP(B27,'Dati generali-anagrafici'!$B$41:$D$60,3)," - ",VLOOKUP(B27,'Dati generali-anagrafici'!$B$41:$D$60,2))</f>
        <v> - </v>
      </c>
      <c r="D27" s="158"/>
      <c r="E27" s="158"/>
      <c r="F27" s="158"/>
      <c r="G27" s="158"/>
      <c r="H27" s="158"/>
      <c r="I27" s="381" t="str">
        <f t="shared" si="1"/>
        <v>OK</v>
      </c>
      <c r="J27" s="381"/>
      <c r="K27" s="381"/>
      <c r="L27" s="381"/>
      <c r="M27" s="381"/>
      <c r="N27" s="381"/>
      <c r="O27" s="192"/>
      <c r="Q27" s="105"/>
      <c r="R27" s="105"/>
      <c r="S27" s="103"/>
      <c r="T27" s="55"/>
      <c r="W27" s="1"/>
      <c r="X27" s="1"/>
      <c r="Y27" s="1"/>
      <c r="AC27" s="1"/>
      <c r="AD27" s="1"/>
      <c r="AE27" s="1"/>
      <c r="AF27" s="1"/>
    </row>
    <row r="28" spans="1:32" ht="12">
      <c r="A28" s="102"/>
      <c r="B28" s="76">
        <v>5</v>
      </c>
      <c r="C28" s="61" t="str">
        <f>CONCATENATE(VLOOKUP(B28,'Dati generali-anagrafici'!$B$41:$D$60,3)," - ",VLOOKUP(B28,'Dati generali-anagrafici'!$B$41:$D$60,2))</f>
        <v> - </v>
      </c>
      <c r="D28" s="158"/>
      <c r="E28" s="158"/>
      <c r="F28" s="158"/>
      <c r="G28" s="158"/>
      <c r="H28" s="158"/>
      <c r="I28" s="381" t="str">
        <f t="shared" si="1"/>
        <v>OK</v>
      </c>
      <c r="J28" s="381"/>
      <c r="K28" s="381"/>
      <c r="L28" s="381"/>
      <c r="M28" s="381"/>
      <c r="N28" s="381"/>
      <c r="O28" s="192"/>
      <c r="Q28" s="105"/>
      <c r="R28" s="105"/>
      <c r="S28" s="103"/>
      <c r="T28" s="55"/>
      <c r="W28" s="1"/>
      <c r="X28" s="1"/>
      <c r="Y28" s="1"/>
      <c r="AC28" s="1"/>
      <c r="AD28" s="1"/>
      <c r="AE28" s="1"/>
      <c r="AF28" s="1"/>
    </row>
    <row r="29" spans="1:32" ht="12" customHeight="1">
      <c r="A29" s="102"/>
      <c r="B29" s="76">
        <v>6</v>
      </c>
      <c r="C29" s="61" t="str">
        <f>CONCATENATE(VLOOKUP(B29,'Dati generali-anagrafici'!$B$41:$D$60,3)," - ",VLOOKUP(B29,'Dati generali-anagrafici'!$B$41:$D$60,2))</f>
        <v> - </v>
      </c>
      <c r="D29" s="158"/>
      <c r="E29" s="158"/>
      <c r="F29" s="158"/>
      <c r="G29" s="158"/>
      <c r="H29" s="158"/>
      <c r="I29" s="381" t="str">
        <f t="shared" si="1"/>
        <v>OK</v>
      </c>
      <c r="J29" s="381"/>
      <c r="K29" s="381"/>
      <c r="L29" s="381"/>
      <c r="M29" s="381"/>
      <c r="N29" s="381"/>
      <c r="O29" s="192"/>
      <c r="Q29" s="105"/>
      <c r="R29" s="105"/>
      <c r="S29" s="103"/>
      <c r="T29" s="55"/>
      <c r="W29" s="1"/>
      <c r="X29" s="1"/>
      <c r="Y29" s="1"/>
      <c r="AC29" s="1"/>
      <c r="AD29" s="1"/>
      <c r="AE29" s="1"/>
      <c r="AF29" s="1"/>
    </row>
    <row r="30" spans="1:32" ht="12">
      <c r="A30" s="102"/>
      <c r="B30" s="76">
        <v>7</v>
      </c>
      <c r="C30" s="61" t="str">
        <f>CONCATENATE(VLOOKUP(B30,'Dati generali-anagrafici'!$B$41:$D$60,3)," - ",VLOOKUP(B30,'Dati generali-anagrafici'!$B$41:$D$60,2))</f>
        <v> - </v>
      </c>
      <c r="D30" s="158"/>
      <c r="E30" s="158"/>
      <c r="F30" s="158"/>
      <c r="G30" s="158"/>
      <c r="H30" s="158"/>
      <c r="I30" s="381" t="str">
        <f t="shared" si="1"/>
        <v>OK</v>
      </c>
      <c r="J30" s="381"/>
      <c r="K30" s="381"/>
      <c r="L30" s="381"/>
      <c r="M30" s="381"/>
      <c r="N30" s="381"/>
      <c r="O30" s="192"/>
      <c r="Q30" s="105"/>
      <c r="R30" s="105"/>
      <c r="S30" s="103"/>
      <c r="T30" s="55"/>
      <c r="W30" s="1"/>
      <c r="X30" s="1"/>
      <c r="Y30" s="1"/>
      <c r="AC30" s="1"/>
      <c r="AD30" s="1"/>
      <c r="AE30" s="1"/>
      <c r="AF30" s="1"/>
    </row>
    <row r="31" spans="1:32" ht="12">
      <c r="A31" s="102"/>
      <c r="B31" s="76">
        <v>8</v>
      </c>
      <c r="C31" s="61" t="str">
        <f>CONCATENATE(VLOOKUP(B31,'Dati generali-anagrafici'!$B$41:$D$60,3)," - ",VLOOKUP(B31,'Dati generali-anagrafici'!$B$41:$D$60,2))</f>
        <v> - </v>
      </c>
      <c r="D31" s="158"/>
      <c r="E31" s="158"/>
      <c r="F31" s="158"/>
      <c r="G31" s="158"/>
      <c r="H31" s="158"/>
      <c r="I31" s="381" t="str">
        <f t="shared" si="1"/>
        <v>OK</v>
      </c>
      <c r="J31" s="381"/>
      <c r="K31" s="381"/>
      <c r="L31" s="381"/>
      <c r="M31" s="381"/>
      <c r="N31" s="381"/>
      <c r="O31" s="192"/>
      <c r="Q31" s="105"/>
      <c r="R31" s="105"/>
      <c r="S31" s="103"/>
      <c r="T31" s="55"/>
      <c r="W31" s="1"/>
      <c r="X31" s="1"/>
      <c r="Y31" s="1"/>
      <c r="AC31" s="1"/>
      <c r="AD31" s="1"/>
      <c r="AE31" s="1"/>
      <c r="AF31" s="1"/>
    </row>
    <row r="32" spans="1:32" ht="12">
      <c r="A32" s="102"/>
      <c r="B32" s="76">
        <v>9</v>
      </c>
      <c r="C32" s="61" t="str">
        <f>CONCATENATE(VLOOKUP(B32,'Dati generali-anagrafici'!$B$41:$D$60,3)," - ",VLOOKUP(B32,'Dati generali-anagrafici'!$B$41:$D$60,2))</f>
        <v> - </v>
      </c>
      <c r="D32" s="158"/>
      <c r="E32" s="158"/>
      <c r="F32" s="158"/>
      <c r="G32" s="158"/>
      <c r="H32" s="158"/>
      <c r="I32" s="381" t="str">
        <f t="shared" si="1"/>
        <v>OK</v>
      </c>
      <c r="J32" s="381"/>
      <c r="K32" s="381"/>
      <c r="L32" s="381"/>
      <c r="M32" s="381"/>
      <c r="N32" s="381"/>
      <c r="O32" s="192"/>
      <c r="Q32" s="105"/>
      <c r="R32" s="105"/>
      <c r="S32" s="103"/>
      <c r="T32" s="55"/>
      <c r="W32" s="1"/>
      <c r="X32" s="1"/>
      <c r="Y32" s="1"/>
      <c r="AC32" s="1"/>
      <c r="AD32" s="1"/>
      <c r="AE32" s="1"/>
      <c r="AF32" s="1"/>
    </row>
    <row r="33" spans="1:32" ht="12">
      <c r="A33" s="102"/>
      <c r="B33" s="76">
        <v>10</v>
      </c>
      <c r="C33" s="61" t="str">
        <f>CONCATENATE(VLOOKUP(B33,'Dati generali-anagrafici'!$B$41:$D$60,3)," - ",VLOOKUP(B33,'Dati generali-anagrafici'!$B$41:$D$60,2))</f>
        <v> - </v>
      </c>
      <c r="D33" s="158"/>
      <c r="E33" s="158"/>
      <c r="F33" s="158"/>
      <c r="G33" s="158"/>
      <c r="H33" s="158"/>
      <c r="I33" s="381" t="str">
        <f t="shared" si="1"/>
        <v>OK</v>
      </c>
      <c r="J33" s="381"/>
      <c r="K33" s="381"/>
      <c r="L33" s="381"/>
      <c r="M33" s="381"/>
      <c r="N33" s="381"/>
      <c r="O33" s="192"/>
      <c r="Q33" s="105"/>
      <c r="R33" s="105"/>
      <c r="S33" s="103"/>
      <c r="T33" s="55"/>
      <c r="W33" s="1"/>
      <c r="X33" s="1"/>
      <c r="Y33" s="1"/>
      <c r="AC33" s="1"/>
      <c r="AD33" s="1"/>
      <c r="AE33" s="1"/>
      <c r="AF33" s="1"/>
    </row>
    <row r="34" spans="1:32" ht="12">
      <c r="A34" s="102"/>
      <c r="B34" s="76">
        <v>11</v>
      </c>
      <c r="C34" s="61" t="str">
        <f>CONCATENATE(VLOOKUP(B34,'Dati generali-anagrafici'!$B$41:$D$60,3)," - ",VLOOKUP(B34,'Dati generali-anagrafici'!$B$41:$D$60,2))</f>
        <v> - </v>
      </c>
      <c r="D34" s="158"/>
      <c r="E34" s="158"/>
      <c r="F34" s="158"/>
      <c r="G34" s="158"/>
      <c r="H34" s="158"/>
      <c r="I34" s="381" t="str">
        <f t="shared" si="1"/>
        <v>OK</v>
      </c>
      <c r="J34" s="381"/>
      <c r="K34" s="381"/>
      <c r="L34" s="381"/>
      <c r="M34" s="381"/>
      <c r="N34" s="381"/>
      <c r="O34" s="192"/>
      <c r="Q34" s="105"/>
      <c r="R34" s="105"/>
      <c r="S34" s="103"/>
      <c r="T34" s="55"/>
      <c r="W34" s="1"/>
      <c r="X34" s="1"/>
      <c r="Y34" s="1"/>
      <c r="AC34" s="1"/>
      <c r="AD34" s="1"/>
      <c r="AE34" s="1"/>
      <c r="AF34" s="1"/>
    </row>
    <row r="35" spans="1:32" ht="12">
      <c r="A35" s="102"/>
      <c r="B35" s="76">
        <v>12</v>
      </c>
      <c r="C35" s="61" t="str">
        <f>CONCATENATE(VLOOKUP(B35,'Dati generali-anagrafici'!$B$41:$D$60,3)," - ",VLOOKUP(B35,'Dati generali-anagrafici'!$B$41:$D$60,2))</f>
        <v> - </v>
      </c>
      <c r="D35" s="158"/>
      <c r="E35" s="158"/>
      <c r="F35" s="158"/>
      <c r="G35" s="158"/>
      <c r="H35" s="158"/>
      <c r="I35" s="381" t="str">
        <f t="shared" si="1"/>
        <v>OK</v>
      </c>
      <c r="J35" s="381"/>
      <c r="K35" s="381"/>
      <c r="L35" s="381"/>
      <c r="M35" s="381"/>
      <c r="N35" s="381"/>
      <c r="O35" s="192"/>
      <c r="Q35" s="105"/>
      <c r="R35" s="105"/>
      <c r="S35" s="103"/>
      <c r="T35" s="55"/>
      <c r="W35" s="1"/>
      <c r="X35" s="1"/>
      <c r="Y35" s="1"/>
      <c r="AC35" s="1"/>
      <c r="AD35" s="1"/>
      <c r="AE35" s="1"/>
      <c r="AF35" s="1"/>
    </row>
    <row r="36" spans="1:32" ht="12">
      <c r="A36" s="102"/>
      <c r="B36" s="76">
        <v>13</v>
      </c>
      <c r="C36" s="61" t="str">
        <f>CONCATENATE(VLOOKUP(B36,'Dati generali-anagrafici'!$B$41:$D$60,3)," - ",VLOOKUP(B36,'Dati generali-anagrafici'!$B$41:$D$60,2))</f>
        <v> - </v>
      </c>
      <c r="D36" s="158"/>
      <c r="E36" s="158"/>
      <c r="F36" s="158"/>
      <c r="G36" s="158"/>
      <c r="H36" s="158"/>
      <c r="I36" s="381" t="str">
        <f t="shared" si="1"/>
        <v>OK</v>
      </c>
      <c r="J36" s="381"/>
      <c r="K36" s="381"/>
      <c r="L36" s="381"/>
      <c r="M36" s="381"/>
      <c r="N36" s="381"/>
      <c r="O36" s="192"/>
      <c r="Q36" s="105"/>
      <c r="R36" s="105"/>
      <c r="S36" s="103"/>
      <c r="T36" s="55"/>
      <c r="W36" s="1"/>
      <c r="X36" s="1"/>
      <c r="Y36" s="1"/>
      <c r="AC36" s="1"/>
      <c r="AD36" s="1"/>
      <c r="AE36" s="1"/>
      <c r="AF36" s="1"/>
    </row>
    <row r="37" spans="1:32" ht="12">
      <c r="A37" s="102"/>
      <c r="B37" s="76">
        <v>14</v>
      </c>
      <c r="C37" s="61" t="str">
        <f>CONCATENATE(VLOOKUP(B37,'Dati generali-anagrafici'!$B$41:$D$60,3)," - ",VLOOKUP(B37,'Dati generali-anagrafici'!$B$41:$D$60,2))</f>
        <v> - </v>
      </c>
      <c r="D37" s="158"/>
      <c r="E37" s="158"/>
      <c r="F37" s="158"/>
      <c r="G37" s="158"/>
      <c r="H37" s="158"/>
      <c r="I37" s="381" t="str">
        <f t="shared" si="1"/>
        <v>OK</v>
      </c>
      <c r="J37" s="381"/>
      <c r="K37" s="381"/>
      <c r="L37" s="381"/>
      <c r="M37" s="381"/>
      <c r="N37" s="381"/>
      <c r="O37" s="192"/>
      <c r="Q37" s="105"/>
      <c r="R37" s="105"/>
      <c r="S37" s="103"/>
      <c r="T37" s="55"/>
      <c r="W37" s="1"/>
      <c r="X37" s="1"/>
      <c r="Y37" s="1"/>
      <c r="AC37" s="1"/>
      <c r="AD37" s="1"/>
      <c r="AE37" s="1"/>
      <c r="AF37" s="1"/>
    </row>
    <row r="38" spans="1:32" ht="12">
      <c r="A38" s="102"/>
      <c r="B38" s="76">
        <v>15</v>
      </c>
      <c r="C38" s="61" t="str">
        <f>CONCATENATE(VLOOKUP(B38,'Dati generali-anagrafici'!$B$41:$D$60,3)," - ",VLOOKUP(B38,'Dati generali-anagrafici'!$B$41:$D$60,2))</f>
        <v> - </v>
      </c>
      <c r="D38" s="158"/>
      <c r="E38" s="158"/>
      <c r="F38" s="158"/>
      <c r="G38" s="158"/>
      <c r="H38" s="158"/>
      <c r="I38" s="381" t="str">
        <f t="shared" si="1"/>
        <v>OK</v>
      </c>
      <c r="J38" s="381"/>
      <c r="K38" s="381"/>
      <c r="L38" s="381"/>
      <c r="M38" s="381"/>
      <c r="N38" s="381"/>
      <c r="O38" s="192"/>
      <c r="Q38" s="105"/>
      <c r="R38" s="105"/>
      <c r="S38" s="103"/>
      <c r="T38" s="55"/>
      <c r="W38" s="1"/>
      <c r="X38" s="1"/>
      <c r="Y38" s="1"/>
      <c r="AC38" s="1"/>
      <c r="AD38" s="1"/>
      <c r="AE38" s="1"/>
      <c r="AF38" s="1"/>
    </row>
    <row r="39" spans="1:32" ht="12">
      <c r="A39" s="102"/>
      <c r="B39" s="76">
        <v>16</v>
      </c>
      <c r="C39" s="61" t="str">
        <f>CONCATENATE(VLOOKUP(B39,'Dati generali-anagrafici'!$B$41:$D$60,3)," - ",VLOOKUP(B39,'Dati generali-anagrafici'!$B$41:$D$60,2))</f>
        <v> - </v>
      </c>
      <c r="D39" s="158"/>
      <c r="E39" s="158"/>
      <c r="F39" s="158"/>
      <c r="G39" s="158"/>
      <c r="H39" s="158"/>
      <c r="I39" s="381" t="str">
        <f t="shared" si="1"/>
        <v>OK</v>
      </c>
      <c r="J39" s="381"/>
      <c r="K39" s="381"/>
      <c r="L39" s="381"/>
      <c r="M39" s="381"/>
      <c r="N39" s="381"/>
      <c r="O39" s="192"/>
      <c r="Q39" s="105"/>
      <c r="R39" s="105"/>
      <c r="S39" s="103"/>
      <c r="T39" s="55"/>
      <c r="W39" s="1"/>
      <c r="X39" s="1"/>
      <c r="Y39" s="1"/>
      <c r="AC39" s="1"/>
      <c r="AD39" s="1"/>
      <c r="AE39" s="1"/>
      <c r="AF39" s="1"/>
    </row>
    <row r="40" spans="1:32" ht="12">
      <c r="A40" s="102"/>
      <c r="B40" s="76">
        <v>17</v>
      </c>
      <c r="C40" s="61" t="str">
        <f>CONCATENATE(VLOOKUP(B40,'Dati generali-anagrafici'!$B$41:$D$60,3)," - ",VLOOKUP(B40,'Dati generali-anagrafici'!$B$41:$D$60,2))</f>
        <v> - </v>
      </c>
      <c r="D40" s="158"/>
      <c r="E40" s="158"/>
      <c r="F40" s="158"/>
      <c r="G40" s="158"/>
      <c r="H40" s="158"/>
      <c r="I40" s="381" t="str">
        <f t="shared" si="1"/>
        <v>OK</v>
      </c>
      <c r="J40" s="381"/>
      <c r="K40" s="381"/>
      <c r="L40" s="381"/>
      <c r="M40" s="381"/>
      <c r="N40" s="381"/>
      <c r="O40" s="192"/>
      <c r="Q40" s="105"/>
      <c r="R40" s="105"/>
      <c r="S40" s="103"/>
      <c r="T40" s="55"/>
      <c r="W40" s="1"/>
      <c r="X40" s="1"/>
      <c r="Y40" s="1"/>
      <c r="AC40" s="1"/>
      <c r="AD40" s="1"/>
      <c r="AE40" s="1"/>
      <c r="AF40" s="1"/>
    </row>
    <row r="41" spans="1:32" ht="12">
      <c r="A41" s="102"/>
      <c r="B41" s="76">
        <v>18</v>
      </c>
      <c r="C41" s="61" t="str">
        <f>CONCATENATE(VLOOKUP(B41,'Dati generali-anagrafici'!$B$41:$D$60,3)," - ",VLOOKUP(B41,'Dati generali-anagrafici'!$B$41:$D$60,2))</f>
        <v> - </v>
      </c>
      <c r="D41" s="158"/>
      <c r="E41" s="158"/>
      <c r="F41" s="158"/>
      <c r="G41" s="158"/>
      <c r="H41" s="158"/>
      <c r="I41" s="381" t="str">
        <f t="shared" si="1"/>
        <v>OK</v>
      </c>
      <c r="J41" s="381"/>
      <c r="K41" s="381"/>
      <c r="L41" s="381"/>
      <c r="M41" s="381"/>
      <c r="N41" s="381"/>
      <c r="O41" s="192"/>
      <c r="Q41" s="105"/>
      <c r="R41" s="105"/>
      <c r="S41" s="103"/>
      <c r="T41" s="55"/>
      <c r="W41" s="1"/>
      <c r="X41" s="1"/>
      <c r="Y41" s="1"/>
      <c r="AC41" s="1"/>
      <c r="AD41" s="1"/>
      <c r="AE41" s="1"/>
      <c r="AF41" s="1"/>
    </row>
    <row r="42" spans="1:32" ht="12">
      <c r="A42" s="102"/>
      <c r="B42" s="76">
        <v>19</v>
      </c>
      <c r="C42" s="61" t="str">
        <f>CONCATENATE(VLOOKUP(B42,'Dati generali-anagrafici'!$B$41:$D$60,3)," - ",VLOOKUP(B42,'Dati generali-anagrafici'!$B$41:$D$60,2))</f>
        <v> - </v>
      </c>
      <c r="D42" s="158"/>
      <c r="E42" s="158"/>
      <c r="F42" s="158"/>
      <c r="G42" s="158"/>
      <c r="H42" s="158"/>
      <c r="I42" s="381" t="str">
        <f t="shared" si="1"/>
        <v>OK</v>
      </c>
      <c r="J42" s="381"/>
      <c r="K42" s="381"/>
      <c r="L42" s="381"/>
      <c r="M42" s="381"/>
      <c r="N42" s="381"/>
      <c r="O42" s="192"/>
      <c r="Q42" s="105"/>
      <c r="R42" s="105"/>
      <c r="S42" s="103"/>
      <c r="T42" s="55"/>
      <c r="W42" s="1"/>
      <c r="X42" s="1"/>
      <c r="Y42" s="1"/>
      <c r="AC42" s="1"/>
      <c r="AD42" s="1"/>
      <c r="AE42" s="1"/>
      <c r="AF42" s="1"/>
    </row>
    <row r="43" spans="1:32" ht="12.75" thickBot="1">
      <c r="A43" s="102"/>
      <c r="B43" s="77">
        <v>20</v>
      </c>
      <c r="C43" s="65" t="str">
        <f>CONCATENATE(VLOOKUP(B43,'Dati generali-anagrafici'!$B$41:$D$60,3)," - ",VLOOKUP(B43,'Dati generali-anagrafici'!$B$41:$D$60,2))</f>
        <v> - </v>
      </c>
      <c r="D43" s="161"/>
      <c r="E43" s="161"/>
      <c r="F43" s="161"/>
      <c r="G43" s="161"/>
      <c r="H43" s="161"/>
      <c r="I43" s="366" t="str">
        <f>IF(AND(D43&lt;&gt;"",$D$6=""),"Errore: il servizio RESI è acquistabile solo se abbinato un servizio CEIP !",IF(OR(AND(D43="RESI-1",E43&gt;30),AND(D43="RESI-2",OR(E43&lt;=30,E43&gt;100)),AND(D43="RESI-3",OR(E43&lt;=100,E43&gt;300)),AND(D43="RESI-4",E43&lt;=300)),"Errore: il numero di utenti non è compatibile con il profilo RESI scelto!","OK"))</f>
        <v>OK</v>
      </c>
      <c r="J43" s="366"/>
      <c r="K43" s="366"/>
      <c r="L43" s="366"/>
      <c r="M43" s="366"/>
      <c r="N43" s="366"/>
      <c r="O43" s="193"/>
      <c r="Q43" s="105"/>
      <c r="R43" s="105"/>
      <c r="S43" s="103"/>
      <c r="T43" s="55"/>
      <c r="W43" s="1"/>
      <c r="X43" s="1"/>
      <c r="Y43" s="1"/>
      <c r="AC43" s="1"/>
      <c r="AD43" s="1"/>
      <c r="AE43" s="1"/>
      <c r="AF43" s="1"/>
    </row>
    <row r="44" spans="1:32" ht="12">
      <c r="A44" s="102"/>
      <c r="Q44" s="105"/>
      <c r="R44" s="105"/>
      <c r="S44" s="103"/>
      <c r="T44" s="55"/>
      <c r="W44" s="1"/>
      <c r="X44" s="1"/>
      <c r="Y44" s="1"/>
      <c r="AC44" s="1"/>
      <c r="AD44" s="1"/>
      <c r="AE44" s="1"/>
      <c r="AF44" s="1"/>
    </row>
    <row r="45" spans="1:32" ht="12">
      <c r="A45" s="102"/>
      <c r="Q45" s="105"/>
      <c r="R45" s="105"/>
      <c r="S45" s="103"/>
      <c r="T45" s="55"/>
      <c r="W45" s="1"/>
      <c r="X45" s="1"/>
      <c r="Y45" s="1"/>
      <c r="AC45" s="1"/>
      <c r="AD45" s="1"/>
      <c r="AE45" s="1"/>
      <c r="AF45" s="1"/>
    </row>
    <row r="46" spans="1:32" ht="12">
      <c r="A46" s="102"/>
      <c r="Q46" s="105"/>
      <c r="R46" s="105"/>
      <c r="S46" s="103"/>
      <c r="T46" s="55"/>
      <c r="W46" s="1"/>
      <c r="X46" s="1"/>
      <c r="Y46" s="1"/>
      <c r="AC46" s="1"/>
      <c r="AD46" s="1"/>
      <c r="AE46" s="1"/>
      <c r="AF46" s="1"/>
    </row>
    <row r="47" spans="1:32" ht="12">
      <c r="A47" s="102"/>
      <c r="Q47" s="105"/>
      <c r="R47" s="105"/>
      <c r="S47" s="103"/>
      <c r="T47" s="55"/>
      <c r="W47" s="1"/>
      <c r="X47" s="1"/>
      <c r="Y47" s="1"/>
      <c r="AC47" s="1"/>
      <c r="AD47" s="1"/>
      <c r="AE47" s="1"/>
      <c r="AF47" s="1"/>
    </row>
    <row r="48" spans="1:32" ht="12">
      <c r="A48" s="102"/>
      <c r="Q48" s="105"/>
      <c r="R48" s="105"/>
      <c r="S48" s="103"/>
      <c r="T48" s="55"/>
      <c r="W48" s="1"/>
      <c r="X48" s="1"/>
      <c r="Y48" s="1"/>
      <c r="AC48" s="1"/>
      <c r="AD48" s="1"/>
      <c r="AE48" s="1"/>
      <c r="AF48" s="1"/>
    </row>
    <row r="49" spans="1:32" ht="12">
      <c r="A49" s="102"/>
      <c r="Q49" s="105"/>
      <c r="R49" s="105"/>
      <c r="S49" s="103"/>
      <c r="T49" s="55"/>
      <c r="W49" s="1"/>
      <c r="X49" s="1"/>
      <c r="Y49" s="1"/>
      <c r="AC49" s="1"/>
      <c r="AD49" s="1"/>
      <c r="AE49" s="1"/>
      <c r="AF49" s="1"/>
    </row>
    <row r="50" spans="1:32" ht="12">
      <c r="A50" s="102"/>
      <c r="Q50" s="105"/>
      <c r="R50" s="105"/>
      <c r="S50" s="103"/>
      <c r="T50" s="55"/>
      <c r="W50" s="1"/>
      <c r="X50" s="1"/>
      <c r="Y50" s="1"/>
      <c r="AC50" s="1"/>
      <c r="AD50" s="1"/>
      <c r="AE50" s="1"/>
      <c r="AF50" s="1"/>
    </row>
    <row r="51" spans="1:32" ht="12">
      <c r="A51" s="102"/>
      <c r="Q51" s="105"/>
      <c r="R51" s="105"/>
      <c r="S51" s="103"/>
      <c r="T51" s="55"/>
      <c r="W51" s="1"/>
      <c r="X51" s="1"/>
      <c r="Y51" s="1"/>
      <c r="AC51" s="1"/>
      <c r="AD51" s="1"/>
      <c r="AE51" s="1"/>
      <c r="AF51" s="1"/>
    </row>
    <row r="52" spans="1:32" ht="12">
      <c r="A52" s="102"/>
      <c r="Q52" s="105"/>
      <c r="R52" s="105"/>
      <c r="S52" s="103"/>
      <c r="T52" s="55"/>
      <c r="W52" s="1"/>
      <c r="X52" s="1"/>
      <c r="Y52" s="1"/>
      <c r="AC52" s="1"/>
      <c r="AD52" s="1"/>
      <c r="AE52" s="1"/>
      <c r="AF52" s="1"/>
    </row>
    <row r="53" spans="1:32" ht="12">
      <c r="A53" s="102"/>
      <c r="Q53" s="105"/>
      <c r="R53" s="105"/>
      <c r="S53" s="103"/>
      <c r="T53" s="55"/>
      <c r="W53" s="1"/>
      <c r="X53" s="1"/>
      <c r="Y53" s="1"/>
      <c r="AC53" s="1"/>
      <c r="AD53" s="1"/>
      <c r="AE53" s="1"/>
      <c r="AF53" s="1"/>
    </row>
    <row r="54" spans="1:32" ht="12">
      <c r="A54" s="102"/>
      <c r="Q54" s="105"/>
      <c r="R54" s="105"/>
      <c r="S54" s="103"/>
      <c r="T54" s="55"/>
      <c r="W54" s="1"/>
      <c r="X54" s="1"/>
      <c r="Y54" s="1"/>
      <c r="AC54" s="1"/>
      <c r="AD54" s="1"/>
      <c r="AE54" s="1"/>
      <c r="AF54" s="1"/>
    </row>
    <row r="55" spans="1:32" ht="12">
      <c r="A55" s="102"/>
      <c r="Q55" s="105"/>
      <c r="R55" s="105"/>
      <c r="S55" s="103"/>
      <c r="T55" s="55"/>
      <c r="W55" s="1"/>
      <c r="X55" s="1"/>
      <c r="Y55" s="1"/>
      <c r="AC55" s="1"/>
      <c r="AD55" s="1"/>
      <c r="AE55" s="1"/>
      <c r="AF55" s="1"/>
    </row>
    <row r="56" spans="1:32" ht="12">
      <c r="A56" s="102"/>
      <c r="Q56" s="105"/>
      <c r="R56" s="105"/>
      <c r="S56" s="103"/>
      <c r="T56" s="55"/>
      <c r="W56" s="1"/>
      <c r="X56" s="1"/>
      <c r="Y56" s="1"/>
      <c r="AC56" s="1"/>
      <c r="AD56" s="1"/>
      <c r="AE56" s="1"/>
      <c r="AF56" s="1"/>
    </row>
    <row r="57" spans="1:32" ht="12">
      <c r="A57" s="102"/>
      <c r="Q57" s="105"/>
      <c r="R57" s="105"/>
      <c r="S57" s="103"/>
      <c r="T57" s="55"/>
      <c r="W57" s="1"/>
      <c r="X57" s="1"/>
      <c r="Y57" s="1"/>
      <c r="AC57" s="1"/>
      <c r="AD57" s="1"/>
      <c r="AE57" s="1"/>
      <c r="AF57" s="1"/>
    </row>
    <row r="58" spans="1:32" ht="12">
      <c r="A58" s="102"/>
      <c r="Q58" s="105"/>
      <c r="R58" s="105"/>
      <c r="S58" s="103"/>
      <c r="T58" s="55"/>
      <c r="W58" s="1"/>
      <c r="X58" s="1"/>
      <c r="Y58" s="1"/>
      <c r="AC58" s="1"/>
      <c r="AD58" s="1"/>
      <c r="AE58" s="1"/>
      <c r="AF58" s="1"/>
    </row>
    <row r="59" spans="1:32" ht="12">
      <c r="A59" s="102"/>
      <c r="Q59" s="105"/>
      <c r="R59" s="105"/>
      <c r="S59" s="103"/>
      <c r="T59" s="55"/>
      <c r="W59" s="1"/>
      <c r="X59" s="1"/>
      <c r="Y59" s="1"/>
      <c r="AC59" s="1"/>
      <c r="AD59" s="1"/>
      <c r="AE59" s="1"/>
      <c r="AF59" s="1"/>
    </row>
    <row r="60" spans="1:32" ht="12">
      <c r="A60" s="102"/>
      <c r="Q60" s="105"/>
      <c r="R60" s="105"/>
      <c r="S60" s="103"/>
      <c r="T60" s="55"/>
      <c r="W60" s="1"/>
      <c r="X60" s="1"/>
      <c r="Y60" s="1"/>
      <c r="AC60" s="1"/>
      <c r="AD60" s="1"/>
      <c r="AE60" s="1"/>
      <c r="AF60" s="1"/>
    </row>
    <row r="61" spans="1:32" ht="12">
      <c r="A61" s="102"/>
      <c r="Q61" s="105"/>
      <c r="R61" s="105"/>
      <c r="S61" s="103"/>
      <c r="T61" s="55"/>
      <c r="W61" s="1"/>
      <c r="X61" s="1"/>
      <c r="Y61" s="1"/>
      <c r="AC61" s="1"/>
      <c r="AD61" s="1"/>
      <c r="AE61" s="1"/>
      <c r="AF61" s="1"/>
    </row>
    <row r="62" spans="1:32" ht="12">
      <c r="A62" s="102"/>
      <c r="Q62" s="105"/>
      <c r="R62" s="105"/>
      <c r="S62" s="103"/>
      <c r="T62" s="55"/>
      <c r="W62" s="1"/>
      <c r="X62" s="1"/>
      <c r="Y62" s="1"/>
      <c r="AC62" s="1"/>
      <c r="AD62" s="1"/>
      <c r="AE62" s="1"/>
      <c r="AF62" s="1"/>
    </row>
    <row r="63" spans="1:32" ht="12">
      <c r="A63" s="102"/>
      <c r="Q63" s="105"/>
      <c r="R63" s="105"/>
      <c r="S63" s="103"/>
      <c r="T63" s="55"/>
      <c r="W63" s="1"/>
      <c r="X63" s="1"/>
      <c r="Y63" s="1"/>
      <c r="AC63" s="1"/>
      <c r="AD63" s="1"/>
      <c r="AE63" s="1"/>
      <c r="AF63" s="1"/>
    </row>
    <row r="64" spans="1:32" ht="12">
      <c r="A64" s="102"/>
      <c r="Q64" s="105"/>
      <c r="R64" s="105"/>
      <c r="S64" s="103"/>
      <c r="T64" s="55"/>
      <c r="W64" s="1"/>
      <c r="X64" s="1"/>
      <c r="Y64" s="1"/>
      <c r="AC64" s="1"/>
      <c r="AD64" s="1"/>
      <c r="AE64" s="1"/>
      <c r="AF64" s="1"/>
    </row>
    <row r="65" spans="1:32" ht="12">
      <c r="A65" s="102"/>
      <c r="Q65" s="105"/>
      <c r="R65" s="105"/>
      <c r="S65" s="103"/>
      <c r="T65" s="55"/>
      <c r="W65" s="1"/>
      <c r="X65" s="1"/>
      <c r="Y65" s="1"/>
      <c r="AC65" s="1"/>
      <c r="AD65" s="1"/>
      <c r="AE65" s="1"/>
      <c r="AF65" s="1"/>
    </row>
    <row r="66" spans="1:32" ht="12">
      <c r="A66" s="102"/>
      <c r="Q66" s="105"/>
      <c r="R66" s="105"/>
      <c r="S66" s="103"/>
      <c r="T66" s="55"/>
      <c r="W66" s="1"/>
      <c r="X66" s="1"/>
      <c r="Y66" s="1"/>
      <c r="AC66" s="1"/>
      <c r="AD66" s="1"/>
      <c r="AE66" s="1"/>
      <c r="AF66" s="1"/>
    </row>
    <row r="67" spans="1:32" ht="12">
      <c r="A67" s="102"/>
      <c r="Q67" s="105"/>
      <c r="R67" s="105"/>
      <c r="S67" s="103"/>
      <c r="T67" s="55"/>
      <c r="W67" s="1"/>
      <c r="X67" s="1"/>
      <c r="Y67" s="1"/>
      <c r="AC67" s="1"/>
      <c r="AD67" s="1"/>
      <c r="AE67" s="1"/>
      <c r="AF67" s="1"/>
    </row>
    <row r="68" spans="1:32" ht="12">
      <c r="A68" s="102"/>
      <c r="Q68" s="105"/>
      <c r="R68" s="105"/>
      <c r="S68" s="103"/>
      <c r="T68" s="55"/>
      <c r="W68" s="1"/>
      <c r="X68" s="1"/>
      <c r="Y68" s="1"/>
      <c r="AC68" s="1"/>
      <c r="AD68" s="1"/>
      <c r="AE68" s="1"/>
      <c r="AF68" s="1"/>
    </row>
    <row r="69" spans="1:32" ht="12">
      <c r="A69" s="102"/>
      <c r="Q69" s="105"/>
      <c r="R69" s="105"/>
      <c r="S69" s="103"/>
      <c r="T69" s="55"/>
      <c r="W69" s="1"/>
      <c r="X69" s="1"/>
      <c r="Y69" s="1"/>
      <c r="AC69" s="1"/>
      <c r="AD69" s="1"/>
      <c r="AE69" s="1"/>
      <c r="AF69" s="1"/>
    </row>
    <row r="70" spans="1:32" ht="12">
      <c r="A70" s="102"/>
      <c r="Q70" s="105"/>
      <c r="R70" s="105"/>
      <c r="S70" s="103"/>
      <c r="T70" s="55"/>
      <c r="W70" s="1"/>
      <c r="X70" s="1"/>
      <c r="Y70" s="1"/>
      <c r="AC70" s="1"/>
      <c r="AD70" s="1"/>
      <c r="AE70" s="1"/>
      <c r="AF70" s="1"/>
    </row>
    <row r="71" spans="1:32" ht="12">
      <c r="A71" s="102"/>
      <c r="Q71" s="105"/>
      <c r="R71" s="105"/>
      <c r="S71" s="103"/>
      <c r="T71" s="55"/>
      <c r="W71" s="1"/>
      <c r="X71" s="1"/>
      <c r="Y71" s="1"/>
      <c r="AC71" s="1"/>
      <c r="AD71" s="1"/>
      <c r="AE71" s="1"/>
      <c r="AF71" s="1"/>
    </row>
    <row r="72" spans="1:32" ht="12">
      <c r="A72" s="102"/>
      <c r="Q72" s="105"/>
      <c r="R72" s="105"/>
      <c r="S72" s="103"/>
      <c r="T72" s="55"/>
      <c r="W72" s="1"/>
      <c r="X72" s="1"/>
      <c r="Y72" s="1"/>
      <c r="AC72" s="1"/>
      <c r="AD72" s="1"/>
      <c r="AE72" s="1"/>
      <c r="AF72" s="1"/>
    </row>
    <row r="73" spans="1:32" ht="12">
      <c r="A73" s="102"/>
      <c r="Q73" s="105"/>
      <c r="R73" s="105"/>
      <c r="S73" s="103"/>
      <c r="T73" s="55"/>
      <c r="W73" s="1"/>
      <c r="X73" s="1"/>
      <c r="Y73" s="1"/>
      <c r="AC73" s="1"/>
      <c r="AD73" s="1"/>
      <c r="AE73" s="1"/>
      <c r="AF73" s="1"/>
    </row>
    <row r="74" spans="1:32" ht="12">
      <c r="A74" s="102"/>
      <c r="Q74" s="105"/>
      <c r="R74" s="105"/>
      <c r="S74" s="103"/>
      <c r="T74" s="55"/>
      <c r="W74" s="1"/>
      <c r="X74" s="1"/>
      <c r="Y74" s="1"/>
      <c r="AC74" s="1"/>
      <c r="AD74" s="1"/>
      <c r="AE74" s="1"/>
      <c r="AF74" s="1"/>
    </row>
    <row r="75" spans="1:32" ht="12">
      <c r="A75" s="102"/>
      <c r="Q75" s="105"/>
      <c r="R75" s="105"/>
      <c r="S75" s="103"/>
      <c r="T75" s="55"/>
      <c r="W75" s="1"/>
      <c r="X75" s="1"/>
      <c r="Y75" s="1"/>
      <c r="AC75" s="1"/>
      <c r="AD75" s="1"/>
      <c r="AE75" s="1"/>
      <c r="AF75" s="1"/>
    </row>
    <row r="76" spans="1:32" ht="12">
      <c r="A76" s="102"/>
      <c r="Q76" s="105"/>
      <c r="R76" s="105"/>
      <c r="S76" s="103"/>
      <c r="T76" s="55"/>
      <c r="W76" s="1"/>
      <c r="X76" s="1"/>
      <c r="Y76" s="1"/>
      <c r="AC76" s="1"/>
      <c r="AD76" s="1"/>
      <c r="AE76" s="1"/>
      <c r="AF76" s="1"/>
    </row>
    <row r="77" spans="1:32" ht="12">
      <c r="A77" s="102"/>
      <c r="Q77" s="105"/>
      <c r="R77" s="105"/>
      <c r="S77" s="103"/>
      <c r="T77" s="55"/>
      <c r="W77" s="1"/>
      <c r="X77" s="1"/>
      <c r="Y77" s="1"/>
      <c r="AC77" s="1"/>
      <c r="AD77" s="1"/>
      <c r="AE77" s="1"/>
      <c r="AF77" s="1"/>
    </row>
    <row r="78" spans="1:32" ht="12">
      <c r="A78" s="102"/>
      <c r="Q78" s="105"/>
      <c r="R78" s="105"/>
      <c r="S78" s="103"/>
      <c r="T78" s="55"/>
      <c r="W78" s="1"/>
      <c r="X78" s="1"/>
      <c r="Y78" s="1"/>
      <c r="AC78" s="1"/>
      <c r="AD78" s="1"/>
      <c r="AE78" s="1"/>
      <c r="AF78" s="1"/>
    </row>
    <row r="79" spans="1:32" ht="12">
      <c r="A79" s="102"/>
      <c r="Q79" s="105"/>
      <c r="R79" s="105"/>
      <c r="S79" s="103"/>
      <c r="T79" s="55"/>
      <c r="W79" s="1"/>
      <c r="X79" s="1"/>
      <c r="Y79" s="1"/>
      <c r="AC79" s="1"/>
      <c r="AD79" s="1"/>
      <c r="AE79" s="1"/>
      <c r="AF79" s="1"/>
    </row>
    <row r="80" spans="1:32" ht="12">
      <c r="A80" s="102"/>
      <c r="Q80" s="105"/>
      <c r="R80" s="105"/>
      <c r="S80" s="103"/>
      <c r="T80" s="55"/>
      <c r="W80" s="1"/>
      <c r="X80" s="1"/>
      <c r="Y80" s="1"/>
      <c r="AC80" s="1"/>
      <c r="AD80" s="1"/>
      <c r="AE80" s="1"/>
      <c r="AF80" s="1"/>
    </row>
    <row r="81" spans="1:32" ht="12">
      <c r="A81" s="102"/>
      <c r="Q81" s="105"/>
      <c r="R81" s="105"/>
      <c r="S81" s="103"/>
      <c r="T81" s="55"/>
      <c r="W81" s="1"/>
      <c r="X81" s="1"/>
      <c r="Y81" s="1"/>
      <c r="AC81" s="1"/>
      <c r="AD81" s="1"/>
      <c r="AE81" s="1"/>
      <c r="AF81" s="1"/>
    </row>
    <row r="82" spans="1:32" ht="12">
      <c r="A82" s="102"/>
      <c r="Q82" s="105"/>
      <c r="R82" s="105"/>
      <c r="S82" s="103"/>
      <c r="T82" s="55"/>
      <c r="W82" s="1"/>
      <c r="X82" s="1"/>
      <c r="Y82" s="1"/>
      <c r="AC82" s="1"/>
      <c r="AD82" s="1"/>
      <c r="AE82" s="1"/>
      <c r="AF82" s="1"/>
    </row>
    <row r="83" spans="1:32" ht="12">
      <c r="A83" s="102"/>
      <c r="Q83" s="105"/>
      <c r="R83" s="105"/>
      <c r="S83" s="103"/>
      <c r="T83" s="55"/>
      <c r="W83" s="1"/>
      <c r="X83" s="1"/>
      <c r="Y83" s="1"/>
      <c r="AC83" s="1"/>
      <c r="AD83" s="1"/>
      <c r="AE83" s="1"/>
      <c r="AF83" s="1"/>
    </row>
    <row r="84" spans="1:32" ht="12">
      <c r="A84" s="102"/>
      <c r="Q84" s="105"/>
      <c r="R84" s="105"/>
      <c r="S84" s="103"/>
      <c r="T84" s="55"/>
      <c r="W84" s="1"/>
      <c r="X84" s="1"/>
      <c r="Y84" s="1"/>
      <c r="AC84" s="1"/>
      <c r="AD84" s="1"/>
      <c r="AE84" s="1"/>
      <c r="AF84" s="1"/>
    </row>
    <row r="85" spans="1:32" ht="12">
      <c r="A85" s="102"/>
      <c r="Q85" s="105"/>
      <c r="R85" s="105"/>
      <c r="S85" s="103"/>
      <c r="T85" s="55"/>
      <c r="W85" s="1"/>
      <c r="X85" s="1"/>
      <c r="Y85" s="1"/>
      <c r="AC85" s="1"/>
      <c r="AD85" s="1"/>
      <c r="AE85" s="1"/>
      <c r="AF85" s="1"/>
    </row>
    <row r="86" spans="17:32" ht="12">
      <c r="Q86" s="105"/>
      <c r="R86" s="105"/>
      <c r="S86" s="103"/>
      <c r="T86" s="55"/>
      <c r="W86" s="1"/>
      <c r="X86" s="1"/>
      <c r="Y86" s="1"/>
      <c r="AC86" s="1"/>
      <c r="AD86" s="1"/>
      <c r="AE86" s="1"/>
      <c r="AF86" s="1"/>
    </row>
    <row r="87" spans="17:32" ht="12">
      <c r="Q87" s="105"/>
      <c r="R87" s="105"/>
      <c r="S87" s="103"/>
      <c r="T87" s="55"/>
      <c r="W87" s="1"/>
      <c r="X87" s="1"/>
      <c r="Y87" s="1"/>
      <c r="AC87" s="1"/>
      <c r="AD87" s="1"/>
      <c r="AE87" s="1"/>
      <c r="AF87" s="1"/>
    </row>
    <row r="88" spans="17:32" ht="12">
      <c r="Q88" s="105"/>
      <c r="R88" s="105"/>
      <c r="S88" s="103"/>
      <c r="T88" s="55"/>
      <c r="W88" s="1"/>
      <c r="X88" s="1"/>
      <c r="Y88" s="1"/>
      <c r="AC88" s="1"/>
      <c r="AD88" s="1"/>
      <c r="AE88" s="1"/>
      <c r="AF88" s="1"/>
    </row>
    <row r="89" spans="17:32" ht="12">
      <c r="Q89" s="105"/>
      <c r="R89" s="105"/>
      <c r="S89" s="103"/>
      <c r="T89" s="55"/>
      <c r="W89" s="1"/>
      <c r="X89" s="1"/>
      <c r="Y89" s="1"/>
      <c r="AC89" s="1"/>
      <c r="AD89" s="1"/>
      <c r="AE89" s="1"/>
      <c r="AF89" s="1"/>
    </row>
    <row r="90" spans="17:32" ht="12">
      <c r="Q90" s="105"/>
      <c r="R90" s="105"/>
      <c r="S90" s="103"/>
      <c r="T90" s="55"/>
      <c r="W90" s="1"/>
      <c r="X90" s="1"/>
      <c r="Y90" s="1"/>
      <c r="AC90" s="1"/>
      <c r="AD90" s="1"/>
      <c r="AE90" s="1"/>
      <c r="AF90" s="1"/>
    </row>
    <row r="91" spans="17:32" ht="12">
      <c r="Q91" s="105"/>
      <c r="R91" s="105"/>
      <c r="S91" s="103"/>
      <c r="T91" s="55"/>
      <c r="W91" s="1"/>
      <c r="X91" s="1"/>
      <c r="Y91" s="1"/>
      <c r="AC91" s="1"/>
      <c r="AD91" s="1"/>
      <c r="AE91" s="1"/>
      <c r="AF91" s="1"/>
    </row>
    <row r="92" spans="17:32" ht="12">
      <c r="Q92" s="105"/>
      <c r="R92" s="105"/>
      <c r="S92" s="103"/>
      <c r="T92" s="55"/>
      <c r="W92" s="1"/>
      <c r="X92" s="1"/>
      <c r="Y92" s="1"/>
      <c r="AC92" s="1"/>
      <c r="AD92" s="1"/>
      <c r="AE92" s="1"/>
      <c r="AF92" s="1"/>
    </row>
    <row r="93" spans="17:32" ht="12">
      <c r="Q93" s="105"/>
      <c r="R93" s="105"/>
      <c r="S93" s="103"/>
      <c r="T93" s="55"/>
      <c r="W93" s="1"/>
      <c r="X93" s="1"/>
      <c r="Y93" s="1"/>
      <c r="AC93" s="1"/>
      <c r="AD93" s="1"/>
      <c r="AE93" s="1"/>
      <c r="AF93" s="1"/>
    </row>
    <row r="94" spans="17:32" ht="12">
      <c r="Q94" s="105"/>
      <c r="R94" s="105"/>
      <c r="S94" s="103"/>
      <c r="T94" s="55"/>
      <c r="W94" s="1"/>
      <c r="X94" s="1"/>
      <c r="Y94" s="1"/>
      <c r="AC94" s="1"/>
      <c r="AD94" s="1"/>
      <c r="AE94" s="1"/>
      <c r="AF94" s="1"/>
    </row>
    <row r="95" spans="17:32" ht="12">
      <c r="Q95" s="105"/>
      <c r="R95" s="105"/>
      <c r="S95" s="103"/>
      <c r="T95" s="55"/>
      <c r="W95" s="1"/>
      <c r="X95" s="1"/>
      <c r="Y95" s="1"/>
      <c r="AC95" s="1"/>
      <c r="AD95" s="1"/>
      <c r="AE95" s="1"/>
      <c r="AF95" s="1"/>
    </row>
    <row r="96" spans="17:32" ht="12">
      <c r="Q96" s="105"/>
      <c r="R96" s="105"/>
      <c r="S96" s="103"/>
      <c r="T96" s="55"/>
      <c r="W96" s="1"/>
      <c r="X96" s="1"/>
      <c r="Y96" s="1"/>
      <c r="AC96" s="1"/>
      <c r="AD96" s="1"/>
      <c r="AE96" s="1"/>
      <c r="AF96" s="1"/>
    </row>
    <row r="97" spans="17:32" ht="12">
      <c r="Q97" s="105"/>
      <c r="R97" s="105"/>
      <c r="S97" s="103"/>
      <c r="T97" s="55"/>
      <c r="W97" s="1"/>
      <c r="X97" s="1"/>
      <c r="Y97" s="1"/>
      <c r="AC97" s="1"/>
      <c r="AD97" s="1"/>
      <c r="AE97" s="1"/>
      <c r="AF97" s="1"/>
    </row>
    <row r="98" spans="17:32" ht="12">
      <c r="Q98" s="105"/>
      <c r="R98" s="105"/>
      <c r="S98" s="103"/>
      <c r="T98" s="55"/>
      <c r="U98" s="55"/>
      <c r="V98" s="55"/>
      <c r="W98" s="55"/>
      <c r="X98" s="1"/>
      <c r="Y98" s="1"/>
      <c r="AC98" s="1"/>
      <c r="AD98" s="1"/>
      <c r="AE98" s="1"/>
      <c r="AF98" s="1"/>
    </row>
    <row r="99" spans="17:32" ht="12">
      <c r="Q99" s="105"/>
      <c r="R99" s="105"/>
      <c r="S99" s="103"/>
      <c r="T99" s="55"/>
      <c r="U99" s="55"/>
      <c r="V99" s="55"/>
      <c r="W99" s="55"/>
      <c r="X99" s="1"/>
      <c r="Y99" s="1"/>
      <c r="AC99" s="1"/>
      <c r="AD99" s="1"/>
      <c r="AE99" s="1"/>
      <c r="AF99" s="1"/>
    </row>
    <row r="100" spans="17:32" ht="12.75" customHeight="1">
      <c r="Q100" s="105"/>
      <c r="R100" s="105"/>
      <c r="S100" s="103"/>
      <c r="T100" s="55"/>
      <c r="U100" s="55"/>
      <c r="V100" s="55"/>
      <c r="W100" s="55"/>
      <c r="X100" s="1"/>
      <c r="Y100" s="1"/>
      <c r="AC100" s="1"/>
      <c r="AD100" s="1"/>
      <c r="AE100" s="1"/>
      <c r="AF100" s="1"/>
    </row>
    <row r="101" spans="17:32" ht="12">
      <c r="Q101" s="51"/>
      <c r="R101" s="51"/>
      <c r="S101" s="103"/>
      <c r="T101" s="55"/>
      <c r="U101" s="55"/>
      <c r="V101" s="55"/>
      <c r="W101" s="55"/>
      <c r="X101" s="1"/>
      <c r="Y101" s="1"/>
      <c r="AC101" s="1"/>
      <c r="AD101" s="1"/>
      <c r="AE101" s="1"/>
      <c r="AF101" s="1"/>
    </row>
    <row r="102" spans="17:32" ht="9.75" customHeight="1">
      <c r="Q102" s="51"/>
      <c r="R102" s="51"/>
      <c r="S102" s="103"/>
      <c r="T102" s="55"/>
      <c r="U102" s="55"/>
      <c r="V102" s="55"/>
      <c r="W102" s="55"/>
      <c r="X102" s="1"/>
      <c r="Y102" s="1"/>
      <c r="AC102" s="1"/>
      <c r="AD102" s="1"/>
      <c r="AE102" s="1"/>
      <c r="AF102" s="1"/>
    </row>
    <row r="103" spans="17:32" ht="12">
      <c r="Q103" s="51"/>
      <c r="R103" s="51"/>
      <c r="S103" s="103"/>
      <c r="T103" s="55"/>
      <c r="U103" s="55"/>
      <c r="V103" s="55"/>
      <c r="W103" s="55"/>
      <c r="X103" s="1"/>
      <c r="Y103" s="1"/>
      <c r="AC103" s="1"/>
      <c r="AD103" s="1"/>
      <c r="AE103" s="1"/>
      <c r="AF103" s="1"/>
    </row>
    <row r="104" spans="17:32" ht="9.75">
      <c r="Q104" s="103"/>
      <c r="R104" s="103"/>
      <c r="S104" s="103"/>
      <c r="T104" s="55"/>
      <c r="U104" s="55"/>
      <c r="V104" s="55"/>
      <c r="W104" s="55"/>
      <c r="X104" s="1"/>
      <c r="Y104" s="1"/>
      <c r="AC104" s="1"/>
      <c r="AD104" s="1"/>
      <c r="AE104" s="1"/>
      <c r="AF104" s="1"/>
    </row>
    <row r="105" spans="17:32" ht="9.75">
      <c r="Q105" s="103"/>
      <c r="R105" s="103"/>
      <c r="S105" s="103"/>
      <c r="T105" s="55"/>
      <c r="U105" s="55"/>
      <c r="V105" s="55"/>
      <c r="W105" s="55"/>
      <c r="X105" s="1"/>
      <c r="Y105" s="1"/>
      <c r="AC105" s="1"/>
      <c r="AD105" s="1"/>
      <c r="AE105" s="1"/>
      <c r="AF105" s="1"/>
    </row>
    <row r="106" spans="17:32" ht="9.75">
      <c r="Q106" s="103"/>
      <c r="R106" s="103"/>
      <c r="S106" s="103"/>
      <c r="T106" s="55"/>
      <c r="U106" s="55"/>
      <c r="V106" s="55"/>
      <c r="W106" s="55"/>
      <c r="X106" s="1"/>
      <c r="Y106" s="1"/>
      <c r="AC106" s="1"/>
      <c r="AD106" s="1"/>
      <c r="AE106" s="1"/>
      <c r="AF106" s="1"/>
    </row>
    <row r="107" spans="20:32" ht="9.75">
      <c r="T107" s="55"/>
      <c r="U107" s="55"/>
      <c r="V107" s="55"/>
      <c r="W107" s="55"/>
      <c r="X107" s="1"/>
      <c r="Y107" s="1"/>
      <c r="AC107" s="1"/>
      <c r="AD107" s="1"/>
      <c r="AE107" s="1"/>
      <c r="AF107" s="1"/>
    </row>
    <row r="108" spans="20:32" ht="9.75">
      <c r="T108" s="55"/>
      <c r="U108" s="55"/>
      <c r="V108" s="55"/>
      <c r="W108" s="55"/>
      <c r="X108" s="1"/>
      <c r="Y108" s="1"/>
      <c r="AC108" s="1"/>
      <c r="AD108" s="1"/>
      <c r="AE108" s="1"/>
      <c r="AF108" s="1"/>
    </row>
    <row r="109" spans="23:32" ht="9.75">
      <c r="W109" s="55"/>
      <c r="X109" s="55"/>
      <c r="Y109" s="55"/>
      <c r="Z109" s="55"/>
      <c r="AC109" s="1"/>
      <c r="AD109" s="1"/>
      <c r="AE109" s="1"/>
      <c r="AF109" s="1"/>
    </row>
  </sheetData>
  <sheetProtection password="CCF0" sheet="1" objects="1" scenarios="1"/>
  <mergeCells count="67">
    <mergeCell ref="L12:N12"/>
    <mergeCell ref="L13:N13"/>
    <mergeCell ref="B20:C22"/>
    <mergeCell ref="D20:H20"/>
    <mergeCell ref="D21:D23"/>
    <mergeCell ref="F21:H21"/>
    <mergeCell ref="F22:F23"/>
    <mergeCell ref="G22:G23"/>
    <mergeCell ref="H22:H23"/>
    <mergeCell ref="E21:E23"/>
    <mergeCell ref="E12:K12"/>
    <mergeCell ref="E13:K13"/>
    <mergeCell ref="E14:K14"/>
    <mergeCell ref="E17:K17"/>
    <mergeCell ref="E15:K15"/>
    <mergeCell ref="E16:K16"/>
    <mergeCell ref="O20:O23"/>
    <mergeCell ref="I20:N23"/>
    <mergeCell ref="I24:N24"/>
    <mergeCell ref="I25:N25"/>
    <mergeCell ref="B8:D8"/>
    <mergeCell ref="E8:K9"/>
    <mergeCell ref="L8:N9"/>
    <mergeCell ref="L11:N11"/>
    <mergeCell ref="L14:N14"/>
    <mergeCell ref="I32:N32"/>
    <mergeCell ref="M6:O6"/>
    <mergeCell ref="E10:K10"/>
    <mergeCell ref="L10:N10"/>
    <mergeCell ref="E11:K11"/>
    <mergeCell ref="I27:N27"/>
    <mergeCell ref="L15:N15"/>
    <mergeCell ref="L16:N16"/>
    <mergeCell ref="L18:N18"/>
    <mergeCell ref="E18:K18"/>
    <mergeCell ref="L17:N17"/>
    <mergeCell ref="I31:N31"/>
    <mergeCell ref="I37:N37"/>
    <mergeCell ref="I28:N28"/>
    <mergeCell ref="I29:N29"/>
    <mergeCell ref="I30:N30"/>
    <mergeCell ref="I26:N26"/>
    <mergeCell ref="I38:N38"/>
    <mergeCell ref="I39:N39"/>
    <mergeCell ref="I33:N33"/>
    <mergeCell ref="I34:N34"/>
    <mergeCell ref="I35:N35"/>
    <mergeCell ref="I42:N42"/>
    <mergeCell ref="B2:C4"/>
    <mergeCell ref="J2:L2"/>
    <mergeCell ref="I4:I5"/>
    <mergeCell ref="D3:D5"/>
    <mergeCell ref="F3:I3"/>
    <mergeCell ref="J3:J5"/>
    <mergeCell ref="E3:E5"/>
    <mergeCell ref="K3:K5"/>
    <mergeCell ref="I36:N36"/>
    <mergeCell ref="I43:N43"/>
    <mergeCell ref="P2:P5"/>
    <mergeCell ref="D2:I2"/>
    <mergeCell ref="L4:L5"/>
    <mergeCell ref="G4:G5"/>
    <mergeCell ref="F4:F5"/>
    <mergeCell ref="H4:H5"/>
    <mergeCell ref="M2:O5"/>
    <mergeCell ref="I40:N40"/>
    <mergeCell ref="I41:N41"/>
  </mergeCells>
  <conditionalFormatting sqref="C6 C24:C43">
    <cfRule type="cellIs" priority="1" dxfId="0" operator="equal" stopIfTrue="1">
      <formula>0</formula>
    </cfRule>
  </conditionalFormatting>
  <dataValidations count="8">
    <dataValidation type="list" allowBlank="1" showErrorMessage="1" sqref="H6:I6 L6 D10:D18 G24:H43">
      <formula1>$Z$2:$Z$3</formula1>
    </dataValidation>
    <dataValidation type="list" allowBlank="1" showErrorMessage="1" sqref="D24:D43">
      <formula1>$Y$2:$Y$5</formula1>
    </dataValidation>
    <dataValidation type="list" allowBlank="1" showInputMessage="1" showErrorMessage="1" sqref="B6">
      <formula1>$AA$2:$AA$22</formula1>
    </dataValidation>
    <dataValidation type="list" allowBlank="1" showErrorMessage="1" sqref="D6">
      <formula1>$W$2:$W$5</formula1>
    </dataValidation>
    <dataValidation type="list" allowBlank="1" showErrorMessage="1" sqref="J6">
      <formula1>$X$2:$X$9</formula1>
    </dataValidation>
    <dataValidation type="whole" allowBlank="1" showErrorMessage="1" sqref="K6 E24:F24 E6:G6 F25:F43">
      <formula1>0</formula1>
      <formula2>10000</formula2>
    </dataValidation>
    <dataValidation type="whole" allowBlank="1" showErrorMessage="1" sqref="E25:E43">
      <formula1>1</formula1>
      <formula2>10000</formula2>
    </dataValidation>
    <dataValidation type="whole" allowBlank="1" showInputMessage="1" showErrorMessage="1" sqref="C10:C18">
      <formula1>0</formula1>
      <formula2>10000</formula2>
    </dataValidation>
  </dataValidations>
  <printOptions/>
  <pageMargins left="0.39375" right="0.39375" top="0.39375" bottom="0.39375" header="0.31527777777777777" footer="0.5118055555555555"/>
  <pageSetup fitToHeight="0" fitToWidth="1" horizontalDpi="300" verticalDpi="300" orientation="landscape" paperSize="9" scale="59" r:id="rId1"/>
  <headerFooter alignWithMargins="0">
    <oddHeader>&amp;L&amp;"Arial,Grassetto"&amp;12SERVIZI DI COMUNICAZIONE EVOLUTA: VOIP</oddHeader>
  </headerFooter>
</worksheet>
</file>

<file path=xl/worksheets/sheet7.xml><?xml version="1.0" encoding="utf-8"?>
<worksheet xmlns="http://schemas.openxmlformats.org/spreadsheetml/2006/main" xmlns:r="http://schemas.openxmlformats.org/officeDocument/2006/relationships">
  <sheetPr>
    <tabColor indexed="17"/>
    <pageSetUpPr fitToPage="1"/>
  </sheetPr>
  <dimension ref="B2:P17"/>
  <sheetViews>
    <sheetView showGridLines="0" workbookViewId="0" topLeftCell="A1">
      <selection activeCell="B6" sqref="B6"/>
    </sheetView>
  </sheetViews>
  <sheetFormatPr defaultColWidth="9.140625" defaultRowHeight="12.75"/>
  <cols>
    <col min="1" max="1" width="2.57421875" style="45" customWidth="1"/>
    <col min="2" max="2" width="16.57421875" style="45" customWidth="1"/>
    <col min="3" max="7" width="12.57421875" style="45" customWidth="1"/>
    <col min="8" max="8" width="65.140625" style="45" customWidth="1"/>
    <col min="9" max="9" width="32.421875" style="45" customWidth="1"/>
    <col min="10" max="11" width="10.57421875" style="45" customWidth="1"/>
    <col min="12" max="13" width="14.00390625" style="45" hidden="1" customWidth="1"/>
    <col min="14" max="15" width="9.140625" style="116" hidden="1" customWidth="1"/>
    <col min="16" max="16" width="9.140625" style="116" customWidth="1"/>
    <col min="17" max="16384" width="9.140625" style="45" customWidth="1"/>
  </cols>
  <sheetData>
    <row r="1" ht="10.5" thickBot="1"/>
    <row r="2" spans="2:16" ht="30" customHeight="1">
      <c r="B2" s="382" t="s">
        <v>143</v>
      </c>
      <c r="C2" s="383"/>
      <c r="D2" s="383"/>
      <c r="E2" s="383"/>
      <c r="F2" s="383"/>
      <c r="G2" s="383"/>
      <c r="H2" s="383"/>
      <c r="I2" s="413"/>
      <c r="M2" s="70" t="s">
        <v>145</v>
      </c>
      <c r="N2" s="117" t="s">
        <v>87</v>
      </c>
      <c r="O2" s="45"/>
      <c r="P2" s="45"/>
    </row>
    <row r="3" spans="2:16" ht="26.25" customHeight="1">
      <c r="B3" s="384" t="s">
        <v>99</v>
      </c>
      <c r="C3" s="373" t="s">
        <v>154</v>
      </c>
      <c r="D3" s="373" t="s">
        <v>98</v>
      </c>
      <c r="E3" s="373"/>
      <c r="F3" s="373"/>
      <c r="G3" s="373"/>
      <c r="H3" s="414" t="s">
        <v>100</v>
      </c>
      <c r="I3" s="417" t="s">
        <v>11</v>
      </c>
      <c r="M3" s="70" t="s">
        <v>146</v>
      </c>
      <c r="N3" s="117" t="s">
        <v>88</v>
      </c>
      <c r="O3" s="45"/>
      <c r="P3" s="45"/>
    </row>
    <row r="4" spans="2:14" s="106" customFormat="1" ht="33.75" customHeight="1">
      <c r="B4" s="384"/>
      <c r="C4" s="373"/>
      <c r="D4" s="373" t="s">
        <v>153</v>
      </c>
      <c r="E4" s="373"/>
      <c r="F4" s="373" t="s">
        <v>80</v>
      </c>
      <c r="G4" s="373" t="s">
        <v>23</v>
      </c>
      <c r="H4" s="415"/>
      <c r="I4" s="418"/>
      <c r="M4" s="70" t="s">
        <v>152</v>
      </c>
      <c r="N4" s="46"/>
    </row>
    <row r="5" spans="2:14" s="106" customFormat="1" ht="99" customHeight="1" thickBot="1">
      <c r="B5" s="412"/>
      <c r="C5" s="374"/>
      <c r="D5" s="86"/>
      <c r="E5" s="75" t="s">
        <v>157</v>
      </c>
      <c r="F5" s="374"/>
      <c r="G5" s="374"/>
      <c r="H5" s="416"/>
      <c r="I5" s="419"/>
      <c r="M5" s="46"/>
      <c r="N5" s="46"/>
    </row>
    <row r="6" spans="2:13" s="46" customFormat="1" ht="12.75" thickBot="1">
      <c r="B6" s="87"/>
      <c r="C6" s="84"/>
      <c r="D6" s="84"/>
      <c r="E6" s="84"/>
      <c r="F6" s="84"/>
      <c r="G6" s="84"/>
      <c r="H6" s="69" t="str">
        <f>IF(AND(F6="Si",B6&lt;&gt;"ITEP-2 (Managed)"),"Errore: l'opzione affidabilità elevata non è sottoscrivibile !",IF(AND(G6="Si",B6&lt;&gt;"ITEP-2 (Managed)"),"Errore: l'opzione finestra di erogazione estesa non è sottoscrivibile !","OK"))</f>
        <v>OK</v>
      </c>
      <c r="I6" s="118"/>
      <c r="M6" s="45"/>
    </row>
    <row r="7" spans="3:14" ht="12">
      <c r="C7" s="45" t="s">
        <v>155</v>
      </c>
      <c r="N7" s="46"/>
    </row>
    <row r="10" ht="10.5" thickBot="1"/>
    <row r="11" spans="2:16" ht="30" customHeight="1" thickBot="1">
      <c r="B11" s="409" t="s">
        <v>144</v>
      </c>
      <c r="C11" s="410"/>
      <c r="D11" s="410"/>
      <c r="E11" s="410"/>
      <c r="F11" s="410"/>
      <c r="G11" s="410"/>
      <c r="H11" s="411"/>
      <c r="K11" s="119"/>
      <c r="M11" s="116"/>
      <c r="P11" s="45"/>
    </row>
    <row r="12" spans="2:16" ht="52.5" thickBot="1">
      <c r="B12" s="85" t="s">
        <v>99</v>
      </c>
      <c r="C12" s="75" t="s">
        <v>156</v>
      </c>
      <c r="D12" s="75" t="s">
        <v>141</v>
      </c>
      <c r="E12" s="379" t="s">
        <v>100</v>
      </c>
      <c r="F12" s="380"/>
      <c r="G12" s="380"/>
      <c r="H12" s="115" t="s">
        <v>11</v>
      </c>
      <c r="K12" s="119"/>
      <c r="M12" s="116"/>
      <c r="P12" s="45"/>
    </row>
    <row r="13" spans="2:16" ht="24.75" customHeight="1">
      <c r="B13" s="194" t="s">
        <v>147</v>
      </c>
      <c r="C13" s="197"/>
      <c r="D13" s="81"/>
      <c r="E13" s="408" t="str">
        <f>IF(AND(C13&gt;0,$B$6=""),"Errore:il servizio ETEP è acquistabile solo in abbinamento a un servizio ITEP !","OK")</f>
        <v>OK</v>
      </c>
      <c r="F13" s="408"/>
      <c r="G13" s="408"/>
      <c r="H13" s="120"/>
      <c r="K13" s="119"/>
      <c r="M13" s="116"/>
      <c r="P13" s="45"/>
    </row>
    <row r="14" spans="2:16" ht="24.75" customHeight="1">
      <c r="B14" s="195" t="s">
        <v>148</v>
      </c>
      <c r="C14" s="198"/>
      <c r="D14" s="72"/>
      <c r="E14" s="397" t="str">
        <f>IF(AND(C14&gt;0,$B$6=""),"Errore:il servizio ETEP è acquistabile solo in abbinamento a un servizio ITEP !","OK")</f>
        <v>OK</v>
      </c>
      <c r="F14" s="397"/>
      <c r="G14" s="397"/>
      <c r="H14" s="121"/>
      <c r="K14" s="119"/>
      <c r="M14" s="116"/>
      <c r="P14" s="45"/>
    </row>
    <row r="15" spans="2:16" ht="24.75" customHeight="1">
      <c r="B15" s="195" t="s">
        <v>149</v>
      </c>
      <c r="C15" s="198"/>
      <c r="D15" s="72"/>
      <c r="E15" s="397" t="str">
        <f>IF(AND(C15&gt;0,$B$6=""),"Errore:il servizio ETEP è acquistabile solo in abbinamento a un servizio ITEP !","OK")</f>
        <v>OK</v>
      </c>
      <c r="F15" s="397"/>
      <c r="G15" s="397"/>
      <c r="H15" s="121"/>
      <c r="K15" s="119"/>
      <c r="M15" s="116"/>
      <c r="P15" s="45"/>
    </row>
    <row r="16" spans="2:16" ht="24.75" customHeight="1">
      <c r="B16" s="195" t="s">
        <v>150</v>
      </c>
      <c r="C16" s="198"/>
      <c r="D16" s="72"/>
      <c r="E16" s="397" t="str">
        <f>IF(AND(C16&gt;0,$B$6=""),"Errore:il servizio ETEP è acquistabile solo in abbinamento a un servizio ITEP !","OK")</f>
        <v>OK</v>
      </c>
      <c r="F16" s="397"/>
      <c r="G16" s="397"/>
      <c r="H16" s="121"/>
      <c r="K16" s="119"/>
      <c r="M16" s="116"/>
      <c r="P16" s="45"/>
    </row>
    <row r="17" spans="2:16" ht="24.75" customHeight="1" thickBot="1">
      <c r="B17" s="196" t="s">
        <v>151</v>
      </c>
      <c r="C17" s="199"/>
      <c r="D17" s="78"/>
      <c r="E17" s="388" t="str">
        <f>IF(AND(C17&gt;0,$B$6=""),"Errore:il servizio ETEP è acquistabile solo in abbinamento a un servizio ITEP !","OK")</f>
        <v>OK</v>
      </c>
      <c r="F17" s="388"/>
      <c r="G17" s="388"/>
      <c r="H17" s="122"/>
      <c r="K17" s="119"/>
      <c r="M17" s="116"/>
      <c r="P17" s="45"/>
    </row>
  </sheetData>
  <sheetProtection sheet="1" objects="1" scenarios="1"/>
  <mergeCells count="16">
    <mergeCell ref="B2:I2"/>
    <mergeCell ref="H3:H5"/>
    <mergeCell ref="I3:I5"/>
    <mergeCell ref="F4:F5"/>
    <mergeCell ref="E12:G12"/>
    <mergeCell ref="B11:H11"/>
    <mergeCell ref="G4:G5"/>
    <mergeCell ref="B3:B5"/>
    <mergeCell ref="D3:G3"/>
    <mergeCell ref="C3:C5"/>
    <mergeCell ref="D4:E4"/>
    <mergeCell ref="E17:G17"/>
    <mergeCell ref="E13:G13"/>
    <mergeCell ref="E14:G14"/>
    <mergeCell ref="E15:G15"/>
    <mergeCell ref="E16:G16"/>
  </mergeCells>
  <dataValidations count="4">
    <dataValidation type="list" allowBlank="1" showErrorMessage="1" sqref="D6 F6:G6 D13:D17">
      <formula1>$N$2:$N$3</formula1>
    </dataValidation>
    <dataValidation type="list" allowBlank="1" showErrorMessage="1" sqref="B6">
      <formula1>$M$2:$M$4</formula1>
    </dataValidation>
    <dataValidation type="whole" allowBlank="1" showErrorMessage="1" sqref="C6 E6">
      <formula1>0</formula1>
      <formula2>100000</formula2>
    </dataValidation>
    <dataValidation type="whole" allowBlank="1" showInputMessage="1" showErrorMessage="1" sqref="C13:C17">
      <formula1>0</formula1>
      <formula2>1000</formula2>
    </dataValidation>
  </dataValidations>
  <printOptions/>
  <pageMargins left="0.39375" right="0.39375" top="0.39375" bottom="0.39375" header="0.31527777777777777" footer="0.5118055555555555"/>
  <pageSetup fitToHeight="0" fitToWidth="1" horizontalDpi="300" verticalDpi="300" orientation="landscape" paperSize="9" scale="81" r:id="rId1"/>
  <headerFooter alignWithMargins="0">
    <oddHeader>&amp;L&amp;"Arial,Grassetto"&amp;12SERVIZI DI COMUNICAZIONE EVOLUTA: TELEPRESENZA</oddHeader>
  </headerFooter>
</worksheet>
</file>

<file path=xl/worksheets/sheet8.xml><?xml version="1.0" encoding="utf-8"?>
<worksheet xmlns="http://schemas.openxmlformats.org/spreadsheetml/2006/main" xmlns:r="http://schemas.openxmlformats.org/officeDocument/2006/relationships">
  <sheetPr>
    <tabColor indexed="53"/>
    <pageSetUpPr fitToPage="1"/>
  </sheetPr>
  <dimension ref="B2:R32"/>
  <sheetViews>
    <sheetView showGridLines="0" workbookViewId="0" topLeftCell="A1">
      <selection activeCell="D4" sqref="D4"/>
    </sheetView>
  </sheetViews>
  <sheetFormatPr defaultColWidth="9.140625" defaultRowHeight="12.75"/>
  <cols>
    <col min="1" max="1" width="2.57421875" style="1" customWidth="1"/>
    <col min="2" max="2" width="10.57421875" style="1" customWidth="1"/>
    <col min="3" max="3" width="64.57421875" style="1" customWidth="1"/>
    <col min="4" max="4" width="15.57421875" style="1" customWidth="1"/>
    <col min="5" max="5" width="30.57421875" style="1" customWidth="1"/>
    <col min="6" max="7" width="12.57421875" style="1" customWidth="1"/>
    <col min="8" max="8" width="65.140625" style="1" customWidth="1"/>
    <col min="9" max="9" width="32.421875" style="1" customWidth="1"/>
    <col min="10" max="11" width="10.57421875" style="1" customWidth="1"/>
    <col min="12" max="12" width="60.57421875" style="60" customWidth="1"/>
    <col min="13" max="13" width="24.8515625" style="44" customWidth="1"/>
    <col min="14" max="14" width="14.00390625" style="45" hidden="1" customWidth="1"/>
    <col min="15" max="15" width="14.00390625" style="1" hidden="1" customWidth="1"/>
    <col min="16" max="16" width="9.140625" style="55" hidden="1" customWidth="1"/>
    <col min="17" max="18" width="9.140625" style="55" customWidth="1"/>
    <col min="19" max="16384" width="9.140625" style="1" customWidth="1"/>
  </cols>
  <sheetData>
    <row r="1" ht="12.75" thickBot="1"/>
    <row r="2" spans="2:18" ht="30" customHeight="1" thickBot="1">
      <c r="B2" s="420" t="s">
        <v>210</v>
      </c>
      <c r="C2" s="421"/>
      <c r="D2" s="421"/>
      <c r="E2" s="422"/>
      <c r="L2" s="1"/>
      <c r="M2" s="1"/>
      <c r="N2" s="1"/>
      <c r="P2" s="1"/>
      <c r="Q2" s="1"/>
      <c r="R2" s="1"/>
    </row>
    <row r="3" spans="2:18" ht="30" customHeight="1" thickBot="1">
      <c r="B3" s="97" t="s">
        <v>99</v>
      </c>
      <c r="C3" s="98" t="s">
        <v>213</v>
      </c>
      <c r="D3" s="99" t="s">
        <v>212</v>
      </c>
      <c r="E3" s="100" t="s">
        <v>11</v>
      </c>
      <c r="L3" s="1"/>
      <c r="M3" s="1"/>
      <c r="N3" s="1"/>
      <c r="P3" s="1"/>
      <c r="Q3" s="1"/>
      <c r="R3" s="1"/>
    </row>
    <row r="4" spans="2:18" ht="12">
      <c r="B4" s="88" t="s">
        <v>158</v>
      </c>
      <c r="C4" s="89" t="s">
        <v>159</v>
      </c>
      <c r="D4" s="200"/>
      <c r="E4" s="201"/>
      <c r="L4" s="1"/>
      <c r="M4" s="1"/>
      <c r="N4" s="1"/>
      <c r="P4" s="1"/>
      <c r="Q4" s="1"/>
      <c r="R4" s="1"/>
    </row>
    <row r="5" spans="2:18" ht="12">
      <c r="B5" s="90" t="s">
        <v>160</v>
      </c>
      <c r="C5" s="70" t="s">
        <v>161</v>
      </c>
      <c r="D5" s="186"/>
      <c r="E5" s="202"/>
      <c r="L5" s="1"/>
      <c r="M5" s="1"/>
      <c r="N5" s="1"/>
      <c r="P5" s="1"/>
      <c r="Q5" s="1"/>
      <c r="R5" s="1"/>
    </row>
    <row r="6" spans="2:18" ht="12">
      <c r="B6" s="90" t="s">
        <v>162</v>
      </c>
      <c r="C6" s="70" t="s">
        <v>163</v>
      </c>
      <c r="D6" s="186"/>
      <c r="E6" s="202"/>
      <c r="L6" s="1"/>
      <c r="M6" s="1"/>
      <c r="N6" s="1"/>
      <c r="P6" s="1"/>
      <c r="Q6" s="1"/>
      <c r="R6" s="1"/>
    </row>
    <row r="7" spans="2:18" ht="12">
      <c r="B7" s="90" t="s">
        <v>164</v>
      </c>
      <c r="C7" s="70" t="s">
        <v>165</v>
      </c>
      <c r="D7" s="186"/>
      <c r="E7" s="202"/>
      <c r="L7" s="1"/>
      <c r="M7" s="1"/>
      <c r="N7" s="1"/>
      <c r="P7" s="1"/>
      <c r="Q7" s="1"/>
      <c r="R7" s="1"/>
    </row>
    <row r="8" spans="2:18" ht="12">
      <c r="B8" s="90" t="s">
        <v>166</v>
      </c>
      <c r="C8" s="70" t="s">
        <v>167</v>
      </c>
      <c r="D8" s="186"/>
      <c r="E8" s="202"/>
      <c r="L8" s="1"/>
      <c r="M8" s="1"/>
      <c r="N8" s="1"/>
      <c r="P8" s="1"/>
      <c r="Q8" s="1"/>
      <c r="R8" s="1"/>
    </row>
    <row r="9" spans="2:18" ht="12">
      <c r="B9" s="90" t="s">
        <v>168</v>
      </c>
      <c r="C9" s="70" t="s">
        <v>169</v>
      </c>
      <c r="D9" s="186"/>
      <c r="E9" s="202"/>
      <c r="L9" s="1"/>
      <c r="M9" s="1"/>
      <c r="N9" s="1"/>
      <c r="P9" s="1"/>
      <c r="Q9" s="1"/>
      <c r="R9" s="1"/>
    </row>
    <row r="10" spans="2:18" ht="12">
      <c r="B10" s="90" t="s">
        <v>170</v>
      </c>
      <c r="C10" s="70" t="s">
        <v>171</v>
      </c>
      <c r="D10" s="186"/>
      <c r="E10" s="202"/>
      <c r="L10" s="1"/>
      <c r="M10" s="1"/>
      <c r="N10" s="1"/>
      <c r="P10" s="1"/>
      <c r="Q10" s="1"/>
      <c r="R10" s="1"/>
    </row>
    <row r="11" spans="2:18" ht="12">
      <c r="B11" s="90" t="s">
        <v>172</v>
      </c>
      <c r="C11" s="70" t="s">
        <v>173</v>
      </c>
      <c r="D11" s="186"/>
      <c r="E11" s="202"/>
      <c r="L11" s="1"/>
      <c r="M11" s="1"/>
      <c r="N11" s="1"/>
      <c r="P11" s="1"/>
      <c r="Q11" s="1"/>
      <c r="R11" s="1"/>
    </row>
    <row r="12" spans="2:18" ht="12">
      <c r="B12" s="90" t="s">
        <v>174</v>
      </c>
      <c r="C12" s="70" t="s">
        <v>175</v>
      </c>
      <c r="D12" s="186"/>
      <c r="E12" s="202"/>
      <c r="L12" s="1"/>
      <c r="M12" s="1"/>
      <c r="N12" s="1"/>
      <c r="P12" s="1"/>
      <c r="Q12" s="1"/>
      <c r="R12" s="1"/>
    </row>
    <row r="13" spans="2:18" ht="12">
      <c r="B13" s="90" t="s">
        <v>176</v>
      </c>
      <c r="C13" s="70" t="s">
        <v>177</v>
      </c>
      <c r="D13" s="186"/>
      <c r="E13" s="202"/>
      <c r="L13" s="1"/>
      <c r="M13" s="1"/>
      <c r="N13" s="1"/>
      <c r="P13" s="1"/>
      <c r="Q13" s="1"/>
      <c r="R13" s="1"/>
    </row>
    <row r="14" spans="2:18" ht="12">
      <c r="B14" s="90" t="s">
        <v>178</v>
      </c>
      <c r="C14" s="70" t="s">
        <v>179</v>
      </c>
      <c r="D14" s="186"/>
      <c r="E14" s="202"/>
      <c r="L14" s="1"/>
      <c r="M14" s="1"/>
      <c r="N14" s="1"/>
      <c r="P14" s="1"/>
      <c r="Q14" s="1"/>
      <c r="R14" s="1"/>
    </row>
    <row r="15" spans="2:18" ht="12">
      <c r="B15" s="90" t="s">
        <v>180</v>
      </c>
      <c r="C15" s="70" t="s">
        <v>181</v>
      </c>
      <c r="D15" s="186"/>
      <c r="E15" s="202"/>
      <c r="L15" s="1"/>
      <c r="M15" s="1"/>
      <c r="N15" s="1"/>
      <c r="P15" s="1"/>
      <c r="Q15" s="1"/>
      <c r="R15" s="1"/>
    </row>
    <row r="16" spans="2:18" ht="12">
      <c r="B16" s="90" t="s">
        <v>182</v>
      </c>
      <c r="C16" s="70" t="s">
        <v>183</v>
      </c>
      <c r="D16" s="186"/>
      <c r="E16" s="202"/>
      <c r="L16" s="1"/>
      <c r="M16" s="1"/>
      <c r="N16" s="1"/>
      <c r="P16" s="1"/>
      <c r="Q16" s="1"/>
      <c r="R16" s="1"/>
    </row>
    <row r="17" spans="2:18" ht="12">
      <c r="B17" s="90" t="s">
        <v>184</v>
      </c>
      <c r="C17" s="70" t="s">
        <v>185</v>
      </c>
      <c r="D17" s="186"/>
      <c r="E17" s="202"/>
      <c r="L17" s="1"/>
      <c r="M17" s="1"/>
      <c r="N17" s="1"/>
      <c r="P17" s="1"/>
      <c r="Q17" s="1"/>
      <c r="R17" s="1"/>
    </row>
    <row r="18" spans="2:18" ht="12">
      <c r="B18" s="90" t="s">
        <v>186</v>
      </c>
      <c r="C18" s="70" t="s">
        <v>187</v>
      </c>
      <c r="D18" s="186"/>
      <c r="E18" s="202"/>
      <c r="L18" s="1"/>
      <c r="M18" s="1"/>
      <c r="N18" s="1"/>
      <c r="P18" s="1"/>
      <c r="Q18" s="1"/>
      <c r="R18" s="1"/>
    </row>
    <row r="19" spans="2:18" ht="12">
      <c r="B19" s="90" t="s">
        <v>188</v>
      </c>
      <c r="C19" s="70" t="s">
        <v>189</v>
      </c>
      <c r="D19" s="186"/>
      <c r="E19" s="202"/>
      <c r="L19" s="1"/>
      <c r="M19" s="1"/>
      <c r="N19" s="1"/>
      <c r="P19" s="1"/>
      <c r="Q19" s="1"/>
      <c r="R19" s="1"/>
    </row>
    <row r="20" spans="2:18" ht="12">
      <c r="B20" s="90" t="s">
        <v>190</v>
      </c>
      <c r="C20" s="70" t="s">
        <v>191</v>
      </c>
      <c r="D20" s="186"/>
      <c r="E20" s="202"/>
      <c r="L20" s="1"/>
      <c r="M20" s="1"/>
      <c r="N20" s="1"/>
      <c r="P20" s="1"/>
      <c r="Q20" s="1"/>
      <c r="R20" s="1"/>
    </row>
    <row r="21" spans="2:18" ht="12">
      <c r="B21" s="90" t="s">
        <v>192</v>
      </c>
      <c r="C21" s="70" t="s">
        <v>193</v>
      </c>
      <c r="D21" s="186"/>
      <c r="E21" s="202"/>
      <c r="L21" s="1"/>
      <c r="M21" s="1"/>
      <c r="N21" s="1"/>
      <c r="P21" s="1"/>
      <c r="Q21" s="1"/>
      <c r="R21" s="1"/>
    </row>
    <row r="22" spans="2:5" ht="12">
      <c r="B22" s="90" t="s">
        <v>194</v>
      </c>
      <c r="C22" s="70" t="s">
        <v>195</v>
      </c>
      <c r="D22" s="186"/>
      <c r="E22" s="202"/>
    </row>
    <row r="23" spans="2:5" ht="12">
      <c r="B23" s="90" t="s">
        <v>196</v>
      </c>
      <c r="C23" s="70" t="s">
        <v>197</v>
      </c>
      <c r="D23" s="186"/>
      <c r="E23" s="202"/>
    </row>
    <row r="24" spans="2:5" ht="12.75" thickBot="1">
      <c r="B24" s="91" t="s">
        <v>198</v>
      </c>
      <c r="C24" s="92" t="s">
        <v>199</v>
      </c>
      <c r="D24" s="188"/>
      <c r="E24" s="203"/>
    </row>
    <row r="25" ht="39.75" customHeight="1" thickBot="1"/>
    <row r="26" spans="2:5" ht="30" customHeight="1" thickBot="1">
      <c r="B26" s="420" t="s">
        <v>211</v>
      </c>
      <c r="C26" s="421"/>
      <c r="D26" s="421"/>
      <c r="E26" s="422"/>
    </row>
    <row r="27" spans="2:5" ht="30" customHeight="1" thickBot="1">
      <c r="B27" s="93" t="s">
        <v>99</v>
      </c>
      <c r="C27" s="94" t="s">
        <v>213</v>
      </c>
      <c r="D27" s="95" t="s">
        <v>214</v>
      </c>
      <c r="E27" s="96" t="s">
        <v>11</v>
      </c>
    </row>
    <row r="28" spans="2:5" ht="12">
      <c r="B28" s="88" t="s">
        <v>200</v>
      </c>
      <c r="C28" s="89" t="s">
        <v>201</v>
      </c>
      <c r="D28" s="200"/>
      <c r="E28" s="201"/>
    </row>
    <row r="29" spans="2:5" ht="12">
      <c r="B29" s="90" t="s">
        <v>202</v>
      </c>
      <c r="C29" s="70" t="s">
        <v>203</v>
      </c>
      <c r="D29" s="186"/>
      <c r="E29" s="202"/>
    </row>
    <row r="30" spans="2:5" ht="12">
      <c r="B30" s="90" t="s">
        <v>204</v>
      </c>
      <c r="C30" s="70" t="s">
        <v>205</v>
      </c>
      <c r="D30" s="186"/>
      <c r="E30" s="202"/>
    </row>
    <row r="31" spans="2:5" ht="12">
      <c r="B31" s="90" t="s">
        <v>206</v>
      </c>
      <c r="C31" s="70" t="s">
        <v>207</v>
      </c>
      <c r="D31" s="186"/>
      <c r="E31" s="202"/>
    </row>
    <row r="32" spans="2:5" ht="12.75" thickBot="1">
      <c r="B32" s="91" t="s">
        <v>208</v>
      </c>
      <c r="C32" s="92" t="s">
        <v>209</v>
      </c>
      <c r="D32" s="188"/>
      <c r="E32" s="203"/>
    </row>
  </sheetData>
  <sheetProtection password="CCF0" sheet="1" objects="1" scenarios="1"/>
  <mergeCells count="2">
    <mergeCell ref="B2:E2"/>
    <mergeCell ref="B26:E26"/>
  </mergeCells>
  <dataValidations count="1">
    <dataValidation type="whole" allowBlank="1" showInputMessage="1" showErrorMessage="1" sqref="D4:D24 D28:D31">
      <formula1>0</formula1>
      <formula2>100000</formula2>
    </dataValidation>
  </dataValidations>
  <printOptions/>
  <pageMargins left="0.39375" right="0.39375" top="0.39375" bottom="0.39375" header="0.31527777777777777" footer="0.5118055555555555"/>
  <pageSetup fitToHeight="0" fitToWidth="1" horizontalDpi="300" verticalDpi="300" orientation="landscape" paperSize="9" r:id="rId1"/>
  <headerFooter alignWithMargins="0">
    <oddHeader>&amp;L&amp;"Arial,Grassetto"&amp;12SERVIZI DI SUPPORTO PROFESSIONALE</oddHeader>
  </headerFooter>
</worksheet>
</file>

<file path=xl/worksheets/sheet9.xml><?xml version="1.0" encoding="utf-8"?>
<worksheet xmlns="http://schemas.openxmlformats.org/spreadsheetml/2006/main" xmlns:r="http://schemas.openxmlformats.org/officeDocument/2006/relationships">
  <sheetPr>
    <tabColor indexed="13"/>
  </sheetPr>
  <dimension ref="A1:AD182"/>
  <sheetViews>
    <sheetView showGridLines="0" workbookViewId="0" topLeftCell="A1">
      <pane xSplit="2" ySplit="2" topLeftCell="C51" activePane="bottomRight" state="frozen"/>
      <selection pane="topLeft" activeCell="B137" sqref="B137"/>
      <selection pane="topRight" activeCell="B137" sqref="B137"/>
      <selection pane="bottomLeft" activeCell="B137" sqref="B137"/>
      <selection pane="bottomRight" activeCell="B58" sqref="B58"/>
    </sheetView>
  </sheetViews>
  <sheetFormatPr defaultColWidth="9.140625" defaultRowHeight="13.5" customHeight="1"/>
  <cols>
    <col min="1" max="1" width="15.8515625" style="204" bestFit="1" customWidth="1"/>
    <col min="2" max="2" width="67.00390625" style="205" customWidth="1"/>
    <col min="3" max="3" width="12.57421875" style="232" bestFit="1" customWidth="1"/>
    <col min="4" max="4" width="15.140625" style="235" bestFit="1" customWidth="1"/>
    <col min="5" max="5" width="13.421875" style="236" bestFit="1" customWidth="1"/>
    <col min="6" max="6" width="15.140625" style="236" bestFit="1" customWidth="1"/>
    <col min="7" max="7" width="12.57421875" style="232" bestFit="1" customWidth="1"/>
    <col min="8" max="8" width="15.140625" style="235" bestFit="1" customWidth="1"/>
    <col min="9" max="9" width="13.421875" style="236" bestFit="1" customWidth="1"/>
    <col min="10" max="10" width="15.140625" style="236" bestFit="1" customWidth="1"/>
    <col min="11" max="11" width="12.57421875" style="232" bestFit="1" customWidth="1"/>
    <col min="12" max="12" width="15.140625" style="235" bestFit="1" customWidth="1"/>
    <col min="13" max="13" width="13.421875" style="236" bestFit="1" customWidth="1"/>
    <col min="14" max="14" width="15.140625" style="236" bestFit="1" customWidth="1"/>
    <col min="15" max="15" width="12.57421875" style="232" bestFit="1" customWidth="1"/>
    <col min="16" max="16" width="15.140625" style="235" bestFit="1" customWidth="1"/>
    <col min="17" max="17" width="13.421875" style="236" bestFit="1" customWidth="1"/>
    <col min="18" max="18" width="15.140625" style="236" bestFit="1" customWidth="1"/>
    <col min="19" max="19" width="12.57421875" style="232" bestFit="1" customWidth="1"/>
    <col min="20" max="20" width="15.140625" style="235" bestFit="1" customWidth="1"/>
    <col min="21" max="21" width="13.421875" style="236" bestFit="1" customWidth="1"/>
    <col min="22" max="22" width="15.140625" style="236" bestFit="1" customWidth="1"/>
    <col min="23" max="23" width="12.57421875" style="232" bestFit="1" customWidth="1"/>
    <col min="24" max="24" width="15.140625" style="235" bestFit="1" customWidth="1"/>
    <col min="25" max="25" width="13.421875" style="236" bestFit="1" customWidth="1"/>
    <col min="26" max="26" width="15.140625" style="236" bestFit="1" customWidth="1"/>
    <col min="27" max="27" width="12.57421875" style="232" bestFit="1" customWidth="1"/>
    <col min="28" max="28" width="15.140625" style="235" bestFit="1" customWidth="1"/>
    <col min="29" max="29" width="13.421875" style="236" bestFit="1" customWidth="1"/>
    <col min="30" max="30" width="15.140625" style="236" bestFit="1" customWidth="1"/>
    <col min="31" max="16384" width="9.140625" style="206" customWidth="1"/>
  </cols>
  <sheetData>
    <row r="1" spans="3:30" ht="37.5" customHeight="1">
      <c r="C1" s="432" t="s">
        <v>502</v>
      </c>
      <c r="D1" s="433"/>
      <c r="E1" s="433"/>
      <c r="F1" s="434"/>
      <c r="G1" s="435" t="s">
        <v>503</v>
      </c>
      <c r="H1" s="436"/>
      <c r="I1" s="436"/>
      <c r="J1" s="437"/>
      <c r="K1" s="438" t="s">
        <v>504</v>
      </c>
      <c r="L1" s="439"/>
      <c r="M1" s="439"/>
      <c r="N1" s="440"/>
      <c r="O1" s="441" t="s">
        <v>505</v>
      </c>
      <c r="P1" s="442"/>
      <c r="Q1" s="442"/>
      <c r="R1" s="443"/>
      <c r="S1" s="423" t="s">
        <v>506</v>
      </c>
      <c r="T1" s="424"/>
      <c r="U1" s="424"/>
      <c r="V1" s="425"/>
      <c r="W1" s="426" t="s">
        <v>507</v>
      </c>
      <c r="X1" s="427"/>
      <c r="Y1" s="427"/>
      <c r="Z1" s="428"/>
      <c r="AA1" s="429" t="s">
        <v>508</v>
      </c>
      <c r="AB1" s="430"/>
      <c r="AC1" s="430"/>
      <c r="AD1" s="431"/>
    </row>
    <row r="2" spans="1:30" ht="37.5" customHeight="1">
      <c r="A2" s="207" t="s">
        <v>217</v>
      </c>
      <c r="B2" s="208" t="s">
        <v>233</v>
      </c>
      <c r="C2" s="209" t="s">
        <v>509</v>
      </c>
      <c r="D2" s="209" t="s">
        <v>510</v>
      </c>
      <c r="E2" s="210" t="s">
        <v>490</v>
      </c>
      <c r="F2" s="210" t="s">
        <v>491</v>
      </c>
      <c r="G2" s="209" t="s">
        <v>509</v>
      </c>
      <c r="H2" s="209" t="s">
        <v>510</v>
      </c>
      <c r="I2" s="210" t="s">
        <v>490</v>
      </c>
      <c r="J2" s="210" t="s">
        <v>491</v>
      </c>
      <c r="K2" s="209" t="s">
        <v>509</v>
      </c>
      <c r="L2" s="209" t="s">
        <v>510</v>
      </c>
      <c r="M2" s="210" t="s">
        <v>490</v>
      </c>
      <c r="N2" s="210" t="s">
        <v>491</v>
      </c>
      <c r="O2" s="209" t="s">
        <v>509</v>
      </c>
      <c r="P2" s="209" t="s">
        <v>510</v>
      </c>
      <c r="Q2" s="210" t="s">
        <v>490</v>
      </c>
      <c r="R2" s="210" t="s">
        <v>491</v>
      </c>
      <c r="S2" s="209" t="s">
        <v>509</v>
      </c>
      <c r="T2" s="209" t="s">
        <v>510</v>
      </c>
      <c r="U2" s="210" t="s">
        <v>490</v>
      </c>
      <c r="V2" s="210" t="s">
        <v>491</v>
      </c>
      <c r="W2" s="209" t="s">
        <v>509</v>
      </c>
      <c r="X2" s="209" t="s">
        <v>510</v>
      </c>
      <c r="Y2" s="210" t="s">
        <v>490</v>
      </c>
      <c r="Z2" s="210" t="s">
        <v>491</v>
      </c>
      <c r="AA2" s="211" t="s">
        <v>509</v>
      </c>
      <c r="AB2" s="211" t="s">
        <v>510</v>
      </c>
      <c r="AC2" s="212" t="s">
        <v>490</v>
      </c>
      <c r="AD2" s="212" t="s">
        <v>491</v>
      </c>
    </row>
    <row r="3" spans="1:30" ht="39" customHeight="1">
      <c r="A3" s="147" t="s">
        <v>31</v>
      </c>
      <c r="B3" s="213" t="s">
        <v>234</v>
      </c>
      <c r="C3" s="214">
        <v>54.96</v>
      </c>
      <c r="D3" s="214">
        <v>27.48</v>
      </c>
      <c r="E3" s="215">
        <v>0</v>
      </c>
      <c r="F3" s="215">
        <v>0</v>
      </c>
      <c r="G3" s="214">
        <v>38.5</v>
      </c>
      <c r="H3" s="214">
        <v>19.25</v>
      </c>
      <c r="I3" s="215">
        <v>0</v>
      </c>
      <c r="J3" s="215">
        <v>0</v>
      </c>
      <c r="K3" s="214">
        <v>100.92</v>
      </c>
      <c r="L3" s="214">
        <v>50.46</v>
      </c>
      <c r="M3" s="215">
        <v>0</v>
      </c>
      <c r="N3" s="215">
        <v>0</v>
      </c>
      <c r="O3" s="214">
        <v>58</v>
      </c>
      <c r="P3" s="214">
        <v>29</v>
      </c>
      <c r="Q3" s="215">
        <v>0</v>
      </c>
      <c r="R3" s="215">
        <v>0</v>
      </c>
      <c r="S3" s="214">
        <v>49.62</v>
      </c>
      <c r="T3" s="214">
        <v>34.42</v>
      </c>
      <c r="U3" s="215">
        <v>0</v>
      </c>
      <c r="V3" s="215">
        <v>0</v>
      </c>
      <c r="W3" s="214">
        <v>112</v>
      </c>
      <c r="X3" s="214">
        <v>56</v>
      </c>
      <c r="Y3" s="215">
        <v>0</v>
      </c>
      <c r="Z3" s="215">
        <v>0</v>
      </c>
      <c r="AA3" s="214">
        <v>38</v>
      </c>
      <c r="AB3" s="214">
        <v>19</v>
      </c>
      <c r="AC3" s="215">
        <v>0</v>
      </c>
      <c r="AD3" s="215">
        <v>0</v>
      </c>
    </row>
    <row r="4" spans="1:30" ht="24.75" customHeight="1">
      <c r="A4" s="147" t="s">
        <v>33</v>
      </c>
      <c r="B4" s="213" t="s">
        <v>235</v>
      </c>
      <c r="C4" s="214">
        <v>54.96</v>
      </c>
      <c r="D4" s="214">
        <v>27.48</v>
      </c>
      <c r="E4" s="215">
        <v>0</v>
      </c>
      <c r="F4" s="215">
        <v>0</v>
      </c>
      <c r="G4" s="214">
        <v>38.52</v>
      </c>
      <c r="H4" s="214">
        <v>19.26</v>
      </c>
      <c r="I4" s="215">
        <v>0</v>
      </c>
      <c r="J4" s="215">
        <v>0</v>
      </c>
      <c r="K4" s="214">
        <v>102.68</v>
      </c>
      <c r="L4" s="214">
        <v>51.34</v>
      </c>
      <c r="M4" s="215">
        <v>0</v>
      </c>
      <c r="N4" s="215">
        <v>0</v>
      </c>
      <c r="O4" s="214">
        <v>58</v>
      </c>
      <c r="P4" s="214">
        <v>29</v>
      </c>
      <c r="Q4" s="215">
        <v>0</v>
      </c>
      <c r="R4" s="215">
        <v>0</v>
      </c>
      <c r="S4" s="214">
        <v>49.62</v>
      </c>
      <c r="T4" s="214">
        <v>34.42</v>
      </c>
      <c r="U4" s="215">
        <v>0</v>
      </c>
      <c r="V4" s="215">
        <v>0</v>
      </c>
      <c r="W4" s="214">
        <v>116</v>
      </c>
      <c r="X4" s="214">
        <v>58</v>
      </c>
      <c r="Y4" s="215">
        <v>0</v>
      </c>
      <c r="Z4" s="215">
        <v>0</v>
      </c>
      <c r="AA4" s="214">
        <v>38</v>
      </c>
      <c r="AB4" s="214">
        <v>19</v>
      </c>
      <c r="AC4" s="215">
        <v>0</v>
      </c>
      <c r="AD4" s="215">
        <v>0</v>
      </c>
    </row>
    <row r="5" spans="1:30" ht="24.75" customHeight="1">
      <c r="A5" s="147" t="s">
        <v>34</v>
      </c>
      <c r="B5" s="213" t="s">
        <v>236</v>
      </c>
      <c r="C5" s="214">
        <v>54.96</v>
      </c>
      <c r="D5" s="214">
        <v>27.48</v>
      </c>
      <c r="E5" s="215">
        <v>0</v>
      </c>
      <c r="F5" s="215">
        <v>0</v>
      </c>
      <c r="G5" s="214">
        <v>38.64</v>
      </c>
      <c r="H5" s="214">
        <v>19.32</v>
      </c>
      <c r="I5" s="215">
        <v>0</v>
      </c>
      <c r="J5" s="215">
        <v>0</v>
      </c>
      <c r="K5" s="214">
        <v>105.22</v>
      </c>
      <c r="L5" s="214">
        <v>52.61</v>
      </c>
      <c r="M5" s="215">
        <v>0</v>
      </c>
      <c r="N5" s="215">
        <v>0</v>
      </c>
      <c r="O5" s="214">
        <v>59</v>
      </c>
      <c r="P5" s="214">
        <v>29.5</v>
      </c>
      <c r="Q5" s="215">
        <v>0</v>
      </c>
      <c r="R5" s="215">
        <v>0</v>
      </c>
      <c r="S5" s="214">
        <v>52.06</v>
      </c>
      <c r="T5" s="214">
        <v>35.59</v>
      </c>
      <c r="U5" s="215">
        <v>0</v>
      </c>
      <c r="V5" s="215">
        <v>0</v>
      </c>
      <c r="W5" s="214">
        <v>120</v>
      </c>
      <c r="X5" s="214">
        <v>60</v>
      </c>
      <c r="Y5" s="215">
        <v>0</v>
      </c>
      <c r="Z5" s="215">
        <v>0</v>
      </c>
      <c r="AA5" s="214">
        <v>38</v>
      </c>
      <c r="AB5" s="214">
        <v>19</v>
      </c>
      <c r="AC5" s="215">
        <v>0</v>
      </c>
      <c r="AD5" s="215">
        <v>0</v>
      </c>
    </row>
    <row r="6" spans="1:30" ht="24.75" customHeight="1">
      <c r="A6" s="147" t="s">
        <v>36</v>
      </c>
      <c r="B6" s="213" t="s">
        <v>237</v>
      </c>
      <c r="C6" s="214">
        <v>54.96</v>
      </c>
      <c r="D6" s="214">
        <v>27.48</v>
      </c>
      <c r="E6" s="215">
        <v>0</v>
      </c>
      <c r="F6" s="215">
        <v>0</v>
      </c>
      <c r="G6" s="214">
        <v>38.75</v>
      </c>
      <c r="H6" s="214">
        <v>19.38</v>
      </c>
      <c r="I6" s="215">
        <v>0</v>
      </c>
      <c r="J6" s="215">
        <v>0</v>
      </c>
      <c r="K6" s="214">
        <v>109.86</v>
      </c>
      <c r="L6" s="214">
        <v>54.93</v>
      </c>
      <c r="M6" s="215">
        <v>0</v>
      </c>
      <c r="N6" s="215">
        <v>0</v>
      </c>
      <c r="O6" s="214">
        <v>59</v>
      </c>
      <c r="P6" s="214">
        <v>29.5</v>
      </c>
      <c r="Q6" s="215">
        <v>0</v>
      </c>
      <c r="R6" s="215">
        <v>0</v>
      </c>
      <c r="S6" s="214">
        <v>52.06</v>
      </c>
      <c r="T6" s="214">
        <v>35.59</v>
      </c>
      <c r="U6" s="215">
        <v>0</v>
      </c>
      <c r="V6" s="215">
        <v>0</v>
      </c>
      <c r="W6" s="214">
        <v>124</v>
      </c>
      <c r="X6" s="214">
        <v>62</v>
      </c>
      <c r="Y6" s="215">
        <v>0</v>
      </c>
      <c r="Z6" s="215">
        <v>0</v>
      </c>
      <c r="AA6" s="214">
        <v>38</v>
      </c>
      <c r="AB6" s="214">
        <v>19</v>
      </c>
      <c r="AC6" s="215">
        <v>0</v>
      </c>
      <c r="AD6" s="215">
        <v>0</v>
      </c>
    </row>
    <row r="7" spans="1:30" ht="24.75" customHeight="1">
      <c r="A7" s="147" t="s">
        <v>37</v>
      </c>
      <c r="B7" s="213" t="s">
        <v>238</v>
      </c>
      <c r="C7" s="214">
        <v>54.96</v>
      </c>
      <c r="D7" s="214">
        <v>27.48</v>
      </c>
      <c r="E7" s="215">
        <v>0</v>
      </c>
      <c r="F7" s="215">
        <v>0</v>
      </c>
      <c r="G7" s="214">
        <v>42.39</v>
      </c>
      <c r="H7" s="214">
        <v>21.2</v>
      </c>
      <c r="I7" s="215">
        <v>0</v>
      </c>
      <c r="J7" s="215">
        <v>0</v>
      </c>
      <c r="K7" s="214">
        <v>114.98</v>
      </c>
      <c r="L7" s="214">
        <v>57.49</v>
      </c>
      <c r="M7" s="215">
        <v>0</v>
      </c>
      <c r="N7" s="215">
        <v>0</v>
      </c>
      <c r="O7" s="214">
        <v>60</v>
      </c>
      <c r="P7" s="214">
        <v>30</v>
      </c>
      <c r="Q7" s="215">
        <v>0</v>
      </c>
      <c r="R7" s="215">
        <v>0</v>
      </c>
      <c r="S7" s="214">
        <v>56.94</v>
      </c>
      <c r="T7" s="214">
        <v>37.92</v>
      </c>
      <c r="U7" s="215">
        <v>0</v>
      </c>
      <c r="V7" s="215">
        <v>0</v>
      </c>
      <c r="W7" s="214">
        <v>128</v>
      </c>
      <c r="X7" s="214">
        <v>64</v>
      </c>
      <c r="Y7" s="215">
        <v>0</v>
      </c>
      <c r="Z7" s="215">
        <v>0</v>
      </c>
      <c r="AA7" s="214">
        <v>42</v>
      </c>
      <c r="AB7" s="214">
        <v>21</v>
      </c>
      <c r="AC7" s="215">
        <v>0</v>
      </c>
      <c r="AD7" s="215">
        <v>0</v>
      </c>
    </row>
    <row r="8" spans="1:30" ht="24.75" customHeight="1">
      <c r="A8" s="147" t="s">
        <v>39</v>
      </c>
      <c r="B8" s="213" t="s">
        <v>239</v>
      </c>
      <c r="C8" s="214">
        <v>54.96</v>
      </c>
      <c r="D8" s="214">
        <v>27.48</v>
      </c>
      <c r="E8" s="215">
        <v>0</v>
      </c>
      <c r="F8" s="215">
        <v>0</v>
      </c>
      <c r="G8" s="214">
        <v>42.64</v>
      </c>
      <c r="H8" s="214">
        <v>21.32</v>
      </c>
      <c r="I8" s="215">
        <v>0</v>
      </c>
      <c r="J8" s="215">
        <v>0</v>
      </c>
      <c r="K8" s="214">
        <v>124.26</v>
      </c>
      <c r="L8" s="214">
        <v>62.13</v>
      </c>
      <c r="M8" s="215">
        <v>0</v>
      </c>
      <c r="N8" s="215">
        <v>0</v>
      </c>
      <c r="O8" s="214">
        <v>60</v>
      </c>
      <c r="P8" s="214">
        <v>30</v>
      </c>
      <c r="Q8" s="215">
        <v>0</v>
      </c>
      <c r="R8" s="215">
        <v>0</v>
      </c>
      <c r="S8" s="214">
        <v>56.94</v>
      </c>
      <c r="T8" s="214">
        <v>37.92</v>
      </c>
      <c r="U8" s="215">
        <v>0</v>
      </c>
      <c r="V8" s="215">
        <v>0</v>
      </c>
      <c r="W8" s="214">
        <v>140</v>
      </c>
      <c r="X8" s="214">
        <v>70</v>
      </c>
      <c r="Y8" s="215">
        <v>0</v>
      </c>
      <c r="Z8" s="215">
        <v>0</v>
      </c>
      <c r="AA8" s="214">
        <v>42</v>
      </c>
      <c r="AB8" s="214">
        <v>21</v>
      </c>
      <c r="AC8" s="215">
        <v>0</v>
      </c>
      <c r="AD8" s="215">
        <v>0</v>
      </c>
    </row>
    <row r="9" spans="1:30" ht="24.75" customHeight="1">
      <c r="A9" s="147" t="s">
        <v>40</v>
      </c>
      <c r="B9" s="213" t="s">
        <v>240</v>
      </c>
      <c r="C9" s="214">
        <v>82.44</v>
      </c>
      <c r="D9" s="214">
        <v>41.22</v>
      </c>
      <c r="E9" s="215">
        <v>0</v>
      </c>
      <c r="F9" s="215">
        <v>0</v>
      </c>
      <c r="G9" s="214">
        <v>47.32</v>
      </c>
      <c r="H9" s="214">
        <v>23.66</v>
      </c>
      <c r="I9" s="215">
        <v>0</v>
      </c>
      <c r="J9" s="215">
        <v>0</v>
      </c>
      <c r="K9" s="214">
        <v>162.32</v>
      </c>
      <c r="L9" s="214">
        <v>81.16</v>
      </c>
      <c r="M9" s="215">
        <v>0</v>
      </c>
      <c r="N9" s="215">
        <v>0</v>
      </c>
      <c r="O9" s="214">
        <v>67.8</v>
      </c>
      <c r="P9" s="214">
        <v>33.9</v>
      </c>
      <c r="Q9" s="215">
        <v>0</v>
      </c>
      <c r="R9" s="215">
        <v>0</v>
      </c>
      <c r="S9" s="214">
        <v>66.7</v>
      </c>
      <c r="T9" s="214">
        <v>42.57</v>
      </c>
      <c r="U9" s="215">
        <v>0</v>
      </c>
      <c r="V9" s="215">
        <v>0</v>
      </c>
      <c r="W9" s="214">
        <v>168</v>
      </c>
      <c r="X9" s="214">
        <v>84</v>
      </c>
      <c r="Y9" s="215">
        <v>0</v>
      </c>
      <c r="Z9" s="215">
        <v>0</v>
      </c>
      <c r="AA9" s="214">
        <v>42</v>
      </c>
      <c r="AB9" s="214">
        <v>21</v>
      </c>
      <c r="AC9" s="215">
        <v>0</v>
      </c>
      <c r="AD9" s="215">
        <v>0</v>
      </c>
    </row>
    <row r="10" spans="1:30" ht="24.75" customHeight="1">
      <c r="A10" s="147" t="s">
        <v>42</v>
      </c>
      <c r="B10" s="213" t="s">
        <v>241</v>
      </c>
      <c r="C10" s="214">
        <v>89.32</v>
      </c>
      <c r="D10" s="214">
        <v>44.66</v>
      </c>
      <c r="E10" s="215">
        <v>0</v>
      </c>
      <c r="F10" s="215">
        <v>0</v>
      </c>
      <c r="G10" s="214">
        <v>47.88</v>
      </c>
      <c r="H10" s="214">
        <v>23.94</v>
      </c>
      <c r="I10" s="215">
        <v>0</v>
      </c>
      <c r="J10" s="215">
        <v>0</v>
      </c>
      <c r="K10" s="214">
        <v>208.7</v>
      </c>
      <c r="L10" s="214">
        <v>104.35</v>
      </c>
      <c r="M10" s="215">
        <v>0</v>
      </c>
      <c r="N10" s="215">
        <v>0</v>
      </c>
      <c r="O10" s="214">
        <v>67.8</v>
      </c>
      <c r="P10" s="214">
        <v>33.9</v>
      </c>
      <c r="Q10" s="215">
        <v>0</v>
      </c>
      <c r="R10" s="215">
        <v>0</v>
      </c>
      <c r="S10" s="214">
        <v>66.7</v>
      </c>
      <c r="T10" s="214">
        <v>42.57</v>
      </c>
      <c r="U10" s="215">
        <v>0</v>
      </c>
      <c r="V10" s="215">
        <v>0</v>
      </c>
      <c r="W10" s="214">
        <v>216</v>
      </c>
      <c r="X10" s="214">
        <v>108</v>
      </c>
      <c r="Y10" s="215">
        <v>0</v>
      </c>
      <c r="Z10" s="215">
        <v>0</v>
      </c>
      <c r="AA10" s="214">
        <v>42</v>
      </c>
      <c r="AB10" s="214">
        <v>21</v>
      </c>
      <c r="AC10" s="215">
        <v>0</v>
      </c>
      <c r="AD10" s="215">
        <v>0</v>
      </c>
    </row>
    <row r="11" spans="1:30" ht="24.75" customHeight="1">
      <c r="A11" s="216" t="s">
        <v>43</v>
      </c>
      <c r="B11" s="217" t="s">
        <v>242</v>
      </c>
      <c r="C11" s="214">
        <v>96.18</v>
      </c>
      <c r="D11" s="214">
        <v>48.09</v>
      </c>
      <c r="E11" s="215">
        <v>0</v>
      </c>
      <c r="F11" s="215">
        <v>0</v>
      </c>
      <c r="G11" s="214">
        <v>54.99</v>
      </c>
      <c r="H11" s="214">
        <v>27.5</v>
      </c>
      <c r="I11" s="215">
        <v>0</v>
      </c>
      <c r="J11" s="215">
        <v>0</v>
      </c>
      <c r="K11" s="214">
        <v>328.36</v>
      </c>
      <c r="L11" s="214">
        <v>164.18</v>
      </c>
      <c r="M11" s="215">
        <v>0</v>
      </c>
      <c r="N11" s="215">
        <v>0</v>
      </c>
      <c r="O11" s="214">
        <v>67.84</v>
      </c>
      <c r="P11" s="214">
        <v>60</v>
      </c>
      <c r="Q11" s="215">
        <v>0</v>
      </c>
      <c r="R11" s="215">
        <v>0</v>
      </c>
      <c r="S11" s="214">
        <v>108.16</v>
      </c>
      <c r="T11" s="214">
        <v>62.11</v>
      </c>
      <c r="U11" s="215">
        <v>0</v>
      </c>
      <c r="V11" s="215">
        <v>0</v>
      </c>
      <c r="W11" s="214">
        <v>236</v>
      </c>
      <c r="X11" s="214">
        <v>118</v>
      </c>
      <c r="Y11" s="215">
        <v>0</v>
      </c>
      <c r="Z11" s="215">
        <v>0</v>
      </c>
      <c r="AA11" s="214">
        <v>52</v>
      </c>
      <c r="AB11" s="214">
        <v>26</v>
      </c>
      <c r="AC11" s="215">
        <v>0</v>
      </c>
      <c r="AD11" s="215">
        <v>0</v>
      </c>
    </row>
    <row r="12" spans="1:30" ht="24.75" customHeight="1">
      <c r="A12" s="216" t="s">
        <v>44</v>
      </c>
      <c r="B12" s="217" t="s">
        <v>243</v>
      </c>
      <c r="C12" s="214">
        <v>137.4</v>
      </c>
      <c r="D12" s="214">
        <v>68.7</v>
      </c>
      <c r="E12" s="215">
        <v>0</v>
      </c>
      <c r="F12" s="215">
        <v>0</v>
      </c>
      <c r="G12" s="214">
        <v>55.22</v>
      </c>
      <c r="H12" s="214">
        <v>27.61</v>
      </c>
      <c r="I12" s="215">
        <v>0</v>
      </c>
      <c r="J12" s="215">
        <v>0</v>
      </c>
      <c r="K12" s="214">
        <v>393.38</v>
      </c>
      <c r="L12" s="214">
        <v>196.69</v>
      </c>
      <c r="M12" s="215">
        <v>0</v>
      </c>
      <c r="N12" s="215">
        <v>0</v>
      </c>
      <c r="O12" s="214">
        <v>75.64</v>
      </c>
      <c r="P12" s="214">
        <v>70</v>
      </c>
      <c r="Q12" s="215">
        <v>0</v>
      </c>
      <c r="R12" s="215">
        <v>0</v>
      </c>
      <c r="S12" s="214">
        <v>140.72</v>
      </c>
      <c r="T12" s="214">
        <v>77.62</v>
      </c>
      <c r="U12" s="215">
        <v>0</v>
      </c>
      <c r="V12" s="215">
        <v>0</v>
      </c>
      <c r="W12" s="214">
        <v>244</v>
      </c>
      <c r="X12" s="214">
        <v>122</v>
      </c>
      <c r="Y12" s="215">
        <v>0</v>
      </c>
      <c r="Z12" s="215">
        <v>0</v>
      </c>
      <c r="AA12" s="214">
        <v>60</v>
      </c>
      <c r="AB12" s="214">
        <v>30</v>
      </c>
      <c r="AC12" s="215">
        <v>0</v>
      </c>
      <c r="AD12" s="215">
        <v>0</v>
      </c>
    </row>
    <row r="13" spans="1:30" ht="24.75" customHeight="1">
      <c r="A13" s="147" t="s">
        <v>46</v>
      </c>
      <c r="B13" s="213" t="s">
        <v>244</v>
      </c>
      <c r="C13" s="214">
        <v>137.4</v>
      </c>
      <c r="D13" s="214">
        <v>68.7</v>
      </c>
      <c r="E13" s="215">
        <v>0</v>
      </c>
      <c r="F13" s="215">
        <v>0</v>
      </c>
      <c r="G13" s="214">
        <v>111.8</v>
      </c>
      <c r="H13" s="214">
        <v>55.9</v>
      </c>
      <c r="I13" s="215">
        <v>0</v>
      </c>
      <c r="J13" s="215">
        <v>0</v>
      </c>
      <c r="K13" s="214">
        <v>207.08</v>
      </c>
      <c r="L13" s="214">
        <v>103.54</v>
      </c>
      <c r="M13" s="215">
        <v>0</v>
      </c>
      <c r="N13" s="215">
        <v>0</v>
      </c>
      <c r="O13" s="214">
        <v>119.16</v>
      </c>
      <c r="P13" s="214">
        <v>60</v>
      </c>
      <c r="Q13" s="215">
        <v>0</v>
      </c>
      <c r="R13" s="215">
        <v>0</v>
      </c>
      <c r="S13" s="214">
        <v>177.33</v>
      </c>
      <c r="T13" s="214">
        <v>97.73</v>
      </c>
      <c r="U13" s="215">
        <v>0</v>
      </c>
      <c r="V13" s="215">
        <v>0</v>
      </c>
      <c r="W13" s="214">
        <v>200</v>
      </c>
      <c r="X13" s="214">
        <v>100</v>
      </c>
      <c r="Y13" s="215">
        <v>0</v>
      </c>
      <c r="Z13" s="215">
        <v>0</v>
      </c>
      <c r="AA13" s="214">
        <v>90</v>
      </c>
      <c r="AB13" s="214">
        <v>45</v>
      </c>
      <c r="AC13" s="215">
        <v>0</v>
      </c>
      <c r="AD13" s="215">
        <v>0</v>
      </c>
    </row>
    <row r="14" spans="1:30" ht="24.75" customHeight="1">
      <c r="A14" s="147" t="s">
        <v>47</v>
      </c>
      <c r="B14" s="213" t="s">
        <v>245</v>
      </c>
      <c r="C14" s="214">
        <v>164.88</v>
      </c>
      <c r="D14" s="214">
        <v>82.44</v>
      </c>
      <c r="E14" s="215">
        <v>0</v>
      </c>
      <c r="F14" s="215">
        <v>0</v>
      </c>
      <c r="G14" s="214">
        <v>113.7</v>
      </c>
      <c r="H14" s="214">
        <v>56.85</v>
      </c>
      <c r="I14" s="215">
        <v>0</v>
      </c>
      <c r="J14" s="215">
        <v>0</v>
      </c>
      <c r="K14" s="214">
        <v>214.1</v>
      </c>
      <c r="L14" s="214">
        <v>107.05</v>
      </c>
      <c r="M14" s="215">
        <v>0</v>
      </c>
      <c r="N14" s="215">
        <v>0</v>
      </c>
      <c r="O14" s="214">
        <v>125.02</v>
      </c>
      <c r="P14" s="214">
        <v>63</v>
      </c>
      <c r="Q14" s="215">
        <v>0</v>
      </c>
      <c r="R14" s="215">
        <v>0</v>
      </c>
      <c r="S14" s="214">
        <v>182.89</v>
      </c>
      <c r="T14" s="214">
        <v>100.38</v>
      </c>
      <c r="U14" s="215">
        <v>0</v>
      </c>
      <c r="V14" s="215">
        <v>0</v>
      </c>
      <c r="W14" s="214">
        <v>204</v>
      </c>
      <c r="X14" s="214">
        <v>102</v>
      </c>
      <c r="Y14" s="215">
        <v>0</v>
      </c>
      <c r="Z14" s="215">
        <v>0</v>
      </c>
      <c r="AA14" s="214">
        <v>96</v>
      </c>
      <c r="AB14" s="214">
        <v>48</v>
      </c>
      <c r="AC14" s="215">
        <v>0</v>
      </c>
      <c r="AD14" s="215">
        <v>0</v>
      </c>
    </row>
    <row r="15" spans="1:30" ht="24.75" customHeight="1">
      <c r="A15" s="147" t="s">
        <v>49</v>
      </c>
      <c r="B15" s="213" t="s">
        <v>246</v>
      </c>
      <c r="C15" s="214">
        <v>192.36</v>
      </c>
      <c r="D15" s="214">
        <v>96.18</v>
      </c>
      <c r="E15" s="215">
        <v>0</v>
      </c>
      <c r="F15" s="215">
        <v>0</v>
      </c>
      <c r="G15" s="214">
        <v>113.92</v>
      </c>
      <c r="H15" s="214">
        <v>56.96</v>
      </c>
      <c r="I15" s="215">
        <v>0</v>
      </c>
      <c r="J15" s="215">
        <v>0</v>
      </c>
      <c r="K15" s="214">
        <v>221.18</v>
      </c>
      <c r="L15" s="214">
        <v>110.59</v>
      </c>
      <c r="M15" s="215">
        <v>0</v>
      </c>
      <c r="N15" s="215">
        <v>0</v>
      </c>
      <c r="O15" s="214">
        <v>130.88</v>
      </c>
      <c r="P15" s="214">
        <v>70</v>
      </c>
      <c r="Q15" s="215">
        <v>0</v>
      </c>
      <c r="R15" s="215">
        <v>0</v>
      </c>
      <c r="S15" s="214">
        <v>188.45</v>
      </c>
      <c r="T15" s="214">
        <v>103.04</v>
      </c>
      <c r="U15" s="215">
        <v>0</v>
      </c>
      <c r="V15" s="215">
        <v>0</v>
      </c>
      <c r="W15" s="214">
        <v>208</v>
      </c>
      <c r="X15" s="214">
        <v>104</v>
      </c>
      <c r="Y15" s="215">
        <v>0</v>
      </c>
      <c r="Z15" s="215">
        <v>0</v>
      </c>
      <c r="AA15" s="214">
        <v>130</v>
      </c>
      <c r="AB15" s="214">
        <v>65</v>
      </c>
      <c r="AC15" s="215">
        <v>0</v>
      </c>
      <c r="AD15" s="215">
        <v>0</v>
      </c>
    </row>
    <row r="16" spans="1:30" ht="24.75" customHeight="1">
      <c r="A16" s="147" t="s">
        <v>50</v>
      </c>
      <c r="B16" s="213" t="s">
        <v>247</v>
      </c>
      <c r="C16" s="214">
        <v>261.06</v>
      </c>
      <c r="D16" s="214">
        <v>130.53</v>
      </c>
      <c r="E16" s="215">
        <v>0</v>
      </c>
      <c r="F16" s="215">
        <v>0</v>
      </c>
      <c r="G16" s="214">
        <v>133.34</v>
      </c>
      <c r="H16" s="214">
        <v>66.67</v>
      </c>
      <c r="I16" s="215">
        <v>0</v>
      </c>
      <c r="J16" s="215">
        <v>0</v>
      </c>
      <c r="K16" s="214">
        <v>249.36</v>
      </c>
      <c r="L16" s="214">
        <v>124.68</v>
      </c>
      <c r="M16" s="215">
        <v>0</v>
      </c>
      <c r="N16" s="215">
        <v>0</v>
      </c>
      <c r="O16" s="214">
        <v>136.74</v>
      </c>
      <c r="P16" s="214">
        <v>150</v>
      </c>
      <c r="Q16" s="215">
        <v>0</v>
      </c>
      <c r="R16" s="215">
        <v>0</v>
      </c>
      <c r="S16" s="214">
        <v>205.29</v>
      </c>
      <c r="T16" s="214">
        <v>111.08</v>
      </c>
      <c r="U16" s="215">
        <v>0</v>
      </c>
      <c r="V16" s="215">
        <v>0</v>
      </c>
      <c r="W16" s="214">
        <v>212</v>
      </c>
      <c r="X16" s="214">
        <v>106</v>
      </c>
      <c r="Y16" s="215">
        <v>0</v>
      </c>
      <c r="Z16" s="215">
        <v>0</v>
      </c>
      <c r="AA16" s="214">
        <v>194</v>
      </c>
      <c r="AB16" s="214">
        <v>97</v>
      </c>
      <c r="AC16" s="215">
        <v>0</v>
      </c>
      <c r="AD16" s="215">
        <v>0</v>
      </c>
    </row>
    <row r="17" spans="1:30" ht="24.75" customHeight="1">
      <c r="A17" s="147" t="s">
        <v>51</v>
      </c>
      <c r="B17" s="213" t="s">
        <v>248</v>
      </c>
      <c r="C17" s="214">
        <v>522.12</v>
      </c>
      <c r="D17" s="214">
        <v>261.06</v>
      </c>
      <c r="E17" s="215">
        <v>0</v>
      </c>
      <c r="F17" s="215">
        <v>0</v>
      </c>
      <c r="G17" s="214">
        <v>210.82</v>
      </c>
      <c r="H17" s="214">
        <v>105.41</v>
      </c>
      <c r="I17" s="215">
        <v>0</v>
      </c>
      <c r="J17" s="215">
        <v>0</v>
      </c>
      <c r="K17" s="214">
        <v>448.32</v>
      </c>
      <c r="L17" s="214">
        <v>224.16</v>
      </c>
      <c r="M17" s="215">
        <v>0</v>
      </c>
      <c r="N17" s="215">
        <v>0</v>
      </c>
      <c r="O17" s="214">
        <v>191.42</v>
      </c>
      <c r="P17" s="214">
        <v>200</v>
      </c>
      <c r="Q17" s="215">
        <v>0</v>
      </c>
      <c r="R17" s="215">
        <v>0</v>
      </c>
      <c r="S17" s="214">
        <v>242.45</v>
      </c>
      <c r="T17" s="214">
        <v>131.51</v>
      </c>
      <c r="U17" s="215">
        <v>0</v>
      </c>
      <c r="V17" s="215">
        <v>0</v>
      </c>
      <c r="W17" s="214">
        <v>496</v>
      </c>
      <c r="X17" s="214">
        <v>248</v>
      </c>
      <c r="Y17" s="215">
        <v>0</v>
      </c>
      <c r="Z17" s="215">
        <v>0</v>
      </c>
      <c r="AA17" s="214">
        <v>320</v>
      </c>
      <c r="AB17" s="214">
        <v>160</v>
      </c>
      <c r="AC17" s="215">
        <v>0</v>
      </c>
      <c r="AD17" s="215">
        <v>0</v>
      </c>
    </row>
    <row r="18" spans="1:30" ht="24.75" customHeight="1">
      <c r="A18" s="147" t="s">
        <v>53</v>
      </c>
      <c r="B18" s="213" t="s">
        <v>249</v>
      </c>
      <c r="C18" s="214">
        <v>1030.5</v>
      </c>
      <c r="D18" s="214">
        <v>515.25</v>
      </c>
      <c r="E18" s="215">
        <v>0</v>
      </c>
      <c r="F18" s="215">
        <v>0</v>
      </c>
      <c r="G18" s="214">
        <v>447.07</v>
      </c>
      <c r="H18" s="214">
        <v>223.54</v>
      </c>
      <c r="I18" s="215">
        <v>0</v>
      </c>
      <c r="J18" s="215">
        <v>0</v>
      </c>
      <c r="K18" s="214">
        <v>800.8</v>
      </c>
      <c r="L18" s="214">
        <v>400.4</v>
      </c>
      <c r="M18" s="215">
        <v>0</v>
      </c>
      <c r="N18" s="215">
        <v>0</v>
      </c>
      <c r="O18" s="214">
        <v>382.84</v>
      </c>
      <c r="P18" s="214">
        <v>400</v>
      </c>
      <c r="Q18" s="215">
        <v>0</v>
      </c>
      <c r="R18" s="215">
        <v>0</v>
      </c>
      <c r="S18" s="214">
        <v>647.21</v>
      </c>
      <c r="T18" s="214">
        <v>333.82</v>
      </c>
      <c r="U18" s="215">
        <v>0</v>
      </c>
      <c r="V18" s="215">
        <v>0</v>
      </c>
      <c r="W18" s="214">
        <v>992</v>
      </c>
      <c r="X18" s="214">
        <v>496</v>
      </c>
      <c r="Y18" s="215">
        <v>0</v>
      </c>
      <c r="Z18" s="215">
        <v>0</v>
      </c>
      <c r="AA18" s="214">
        <v>400</v>
      </c>
      <c r="AB18" s="214">
        <v>200</v>
      </c>
      <c r="AC18" s="215">
        <v>0</v>
      </c>
      <c r="AD18" s="215">
        <v>0</v>
      </c>
    </row>
    <row r="19" spans="1:30" ht="24.75" customHeight="1">
      <c r="A19" s="218" t="s">
        <v>55</v>
      </c>
      <c r="B19" s="219" t="s">
        <v>250</v>
      </c>
      <c r="C19" s="214">
        <v>961.8</v>
      </c>
      <c r="D19" s="214">
        <v>480.9</v>
      </c>
      <c r="E19" s="215">
        <v>0</v>
      </c>
      <c r="F19" s="215">
        <v>0</v>
      </c>
      <c r="G19" s="214">
        <v>700</v>
      </c>
      <c r="H19" s="214">
        <v>350</v>
      </c>
      <c r="I19" s="215">
        <v>0</v>
      </c>
      <c r="J19" s="215">
        <v>0</v>
      </c>
      <c r="K19" s="214">
        <v>1323.46</v>
      </c>
      <c r="L19" s="214">
        <v>661.73</v>
      </c>
      <c r="M19" s="215">
        <v>0</v>
      </c>
      <c r="N19" s="215">
        <v>0</v>
      </c>
      <c r="O19" s="214">
        <v>646.36</v>
      </c>
      <c r="P19" s="214">
        <v>550</v>
      </c>
      <c r="Q19" s="215">
        <v>0</v>
      </c>
      <c r="R19" s="215">
        <v>0</v>
      </c>
      <c r="S19" s="214">
        <v>909.85</v>
      </c>
      <c r="T19" s="214">
        <v>485.13</v>
      </c>
      <c r="U19" s="215">
        <v>0</v>
      </c>
      <c r="V19" s="215">
        <v>0</v>
      </c>
      <c r="W19" s="214">
        <v>1020</v>
      </c>
      <c r="X19" s="214">
        <v>510</v>
      </c>
      <c r="Y19" s="215">
        <v>0</v>
      </c>
      <c r="Z19" s="215">
        <v>0</v>
      </c>
      <c r="AA19" s="214">
        <v>973.7</v>
      </c>
      <c r="AB19" s="214">
        <v>486.85</v>
      </c>
      <c r="AC19" s="215">
        <v>0</v>
      </c>
      <c r="AD19" s="215">
        <v>0</v>
      </c>
    </row>
    <row r="20" spans="1:30" ht="24.75" customHeight="1">
      <c r="A20" s="218" t="s">
        <v>56</v>
      </c>
      <c r="B20" s="219" t="s">
        <v>251</v>
      </c>
      <c r="C20" s="214">
        <v>1030.5</v>
      </c>
      <c r="D20" s="214">
        <v>515.25</v>
      </c>
      <c r="E20" s="215">
        <v>0</v>
      </c>
      <c r="F20" s="215">
        <v>0</v>
      </c>
      <c r="G20" s="214">
        <v>850</v>
      </c>
      <c r="H20" s="214">
        <v>425</v>
      </c>
      <c r="I20" s="215">
        <v>0</v>
      </c>
      <c r="J20" s="215">
        <v>0</v>
      </c>
      <c r="K20" s="214">
        <v>1615.82</v>
      </c>
      <c r="L20" s="214">
        <v>807.91</v>
      </c>
      <c r="M20" s="215">
        <v>0</v>
      </c>
      <c r="N20" s="215">
        <v>0</v>
      </c>
      <c r="O20" s="214">
        <v>683.66</v>
      </c>
      <c r="P20" s="214">
        <v>650</v>
      </c>
      <c r="Q20" s="215">
        <v>0</v>
      </c>
      <c r="R20" s="215">
        <v>0</v>
      </c>
      <c r="S20" s="214">
        <v>946.66</v>
      </c>
      <c r="T20" s="214">
        <v>503.07</v>
      </c>
      <c r="U20" s="215">
        <v>0</v>
      </c>
      <c r="V20" s="215">
        <v>0</v>
      </c>
      <c r="W20" s="214">
        <v>1200</v>
      </c>
      <c r="X20" s="214">
        <v>600</v>
      </c>
      <c r="Y20" s="215">
        <v>0</v>
      </c>
      <c r="Z20" s="215">
        <v>0</v>
      </c>
      <c r="AA20" s="214">
        <v>1035.06</v>
      </c>
      <c r="AB20" s="214">
        <v>517.53</v>
      </c>
      <c r="AC20" s="215">
        <v>0</v>
      </c>
      <c r="AD20" s="215">
        <v>0</v>
      </c>
    </row>
    <row r="21" spans="1:30" ht="24.75" customHeight="1">
      <c r="A21" s="218" t="s">
        <v>58</v>
      </c>
      <c r="B21" s="219" t="s">
        <v>252</v>
      </c>
      <c r="C21" s="214">
        <v>1648.8</v>
      </c>
      <c r="D21" s="214">
        <v>824.4</v>
      </c>
      <c r="E21" s="215">
        <v>0</v>
      </c>
      <c r="F21" s="215">
        <v>0</v>
      </c>
      <c r="G21" s="214">
        <v>1000</v>
      </c>
      <c r="H21" s="214">
        <v>500</v>
      </c>
      <c r="I21" s="215">
        <v>0</v>
      </c>
      <c r="J21" s="215">
        <v>0</v>
      </c>
      <c r="K21" s="214">
        <v>1640.06</v>
      </c>
      <c r="L21" s="214">
        <v>820.03</v>
      </c>
      <c r="M21" s="215">
        <v>0</v>
      </c>
      <c r="N21" s="215">
        <v>0</v>
      </c>
      <c r="O21" s="214">
        <v>720.94</v>
      </c>
      <c r="P21" s="214">
        <v>800</v>
      </c>
      <c r="Q21" s="215">
        <v>0</v>
      </c>
      <c r="R21" s="215">
        <v>0</v>
      </c>
      <c r="S21" s="214">
        <v>1020.15</v>
      </c>
      <c r="T21" s="214">
        <v>538.81</v>
      </c>
      <c r="U21" s="215">
        <v>0</v>
      </c>
      <c r="V21" s="215">
        <v>0</v>
      </c>
      <c r="W21" s="214">
        <v>1670</v>
      </c>
      <c r="X21" s="214">
        <v>835</v>
      </c>
      <c r="Y21" s="215">
        <v>0</v>
      </c>
      <c r="Z21" s="215">
        <v>0</v>
      </c>
      <c r="AA21" s="214">
        <v>1159.88</v>
      </c>
      <c r="AB21" s="214">
        <v>579.94</v>
      </c>
      <c r="AC21" s="215">
        <v>0</v>
      </c>
      <c r="AD21" s="215">
        <v>0</v>
      </c>
    </row>
    <row r="22" spans="1:30" ht="24.75" customHeight="1">
      <c r="A22" s="218" t="s">
        <v>60</v>
      </c>
      <c r="B22" s="219" t="s">
        <v>253</v>
      </c>
      <c r="C22" s="214">
        <v>2473.2</v>
      </c>
      <c r="D22" s="214">
        <v>1236.6</v>
      </c>
      <c r="E22" s="215">
        <v>0</v>
      </c>
      <c r="F22" s="215">
        <v>0</v>
      </c>
      <c r="G22" s="214">
        <v>1400</v>
      </c>
      <c r="H22" s="214">
        <v>700</v>
      </c>
      <c r="I22" s="215">
        <v>0</v>
      </c>
      <c r="J22" s="215">
        <v>0</v>
      </c>
      <c r="K22" s="214">
        <v>2066.94</v>
      </c>
      <c r="L22" s="214">
        <v>1033.47</v>
      </c>
      <c r="M22" s="215">
        <v>0</v>
      </c>
      <c r="N22" s="215">
        <v>0</v>
      </c>
      <c r="O22" s="214">
        <v>3200</v>
      </c>
      <c r="P22" s="214">
        <v>1600</v>
      </c>
      <c r="Q22" s="215">
        <v>0</v>
      </c>
      <c r="R22" s="215">
        <v>0</v>
      </c>
      <c r="S22" s="214">
        <v>1240.85</v>
      </c>
      <c r="T22" s="214">
        <v>646.02</v>
      </c>
      <c r="U22" s="215">
        <v>0</v>
      </c>
      <c r="V22" s="215">
        <v>0</v>
      </c>
      <c r="W22" s="214">
        <v>1710</v>
      </c>
      <c r="X22" s="214">
        <v>855</v>
      </c>
      <c r="Y22" s="215">
        <v>0</v>
      </c>
      <c r="Z22" s="215">
        <v>0</v>
      </c>
      <c r="AA22" s="214">
        <v>1416.1</v>
      </c>
      <c r="AB22" s="214">
        <v>708.05</v>
      </c>
      <c r="AC22" s="215">
        <v>0</v>
      </c>
      <c r="AD22" s="215">
        <v>0</v>
      </c>
    </row>
    <row r="23" spans="1:30" ht="24.75" customHeight="1">
      <c r="A23" s="218" t="s">
        <v>61</v>
      </c>
      <c r="B23" s="219" t="s">
        <v>254</v>
      </c>
      <c r="C23" s="214">
        <v>2748</v>
      </c>
      <c r="D23" s="214">
        <v>1374</v>
      </c>
      <c r="E23" s="215">
        <v>0</v>
      </c>
      <c r="F23" s="215">
        <v>0</v>
      </c>
      <c r="G23" s="214">
        <v>1670</v>
      </c>
      <c r="H23" s="214">
        <v>835</v>
      </c>
      <c r="I23" s="215">
        <v>0</v>
      </c>
      <c r="J23" s="215">
        <v>0</v>
      </c>
      <c r="K23" s="214">
        <v>2737.12</v>
      </c>
      <c r="L23" s="214">
        <v>1368.56</v>
      </c>
      <c r="M23" s="215">
        <v>0</v>
      </c>
      <c r="N23" s="215">
        <v>0</v>
      </c>
      <c r="O23" s="214">
        <v>917.86</v>
      </c>
      <c r="P23" s="214">
        <v>1700</v>
      </c>
      <c r="Q23" s="215">
        <v>0</v>
      </c>
      <c r="R23" s="215">
        <v>0</v>
      </c>
      <c r="S23" s="214">
        <v>1400.83</v>
      </c>
      <c r="T23" s="214">
        <v>702.18</v>
      </c>
      <c r="U23" s="215">
        <v>0</v>
      </c>
      <c r="V23" s="215">
        <v>0</v>
      </c>
      <c r="W23" s="214">
        <v>1820</v>
      </c>
      <c r="X23" s="214">
        <v>910</v>
      </c>
      <c r="Y23" s="215">
        <v>0</v>
      </c>
      <c r="Z23" s="215">
        <v>0</v>
      </c>
      <c r="AA23" s="214">
        <v>1733.68</v>
      </c>
      <c r="AB23" s="214">
        <v>866.84</v>
      </c>
      <c r="AC23" s="215">
        <v>0</v>
      </c>
      <c r="AD23" s="215">
        <v>0</v>
      </c>
    </row>
    <row r="24" spans="1:30" ht="24.75" customHeight="1">
      <c r="A24" s="218" t="s">
        <v>62</v>
      </c>
      <c r="B24" s="219" t="s">
        <v>255</v>
      </c>
      <c r="C24" s="214">
        <v>3435</v>
      </c>
      <c r="D24" s="214">
        <v>1717.5</v>
      </c>
      <c r="E24" s="215">
        <v>0</v>
      </c>
      <c r="F24" s="215">
        <v>0</v>
      </c>
      <c r="G24" s="214">
        <v>2200</v>
      </c>
      <c r="H24" s="214">
        <v>1100</v>
      </c>
      <c r="I24" s="215">
        <v>0</v>
      </c>
      <c r="J24" s="215">
        <v>0</v>
      </c>
      <c r="K24" s="214">
        <v>3604.42</v>
      </c>
      <c r="L24" s="214">
        <v>1802.21</v>
      </c>
      <c r="M24" s="215">
        <v>0</v>
      </c>
      <c r="N24" s="215">
        <v>0</v>
      </c>
      <c r="O24" s="214">
        <v>1380.68</v>
      </c>
      <c r="P24" s="214">
        <v>1800</v>
      </c>
      <c r="Q24" s="215">
        <v>0</v>
      </c>
      <c r="R24" s="215">
        <v>0</v>
      </c>
      <c r="S24" s="214">
        <v>1576.7</v>
      </c>
      <c r="T24" s="214">
        <v>826.44</v>
      </c>
      <c r="U24" s="215">
        <v>0</v>
      </c>
      <c r="V24" s="215">
        <v>0</v>
      </c>
      <c r="W24" s="214">
        <v>2200</v>
      </c>
      <c r="X24" s="214">
        <v>1100</v>
      </c>
      <c r="Y24" s="215">
        <v>0</v>
      </c>
      <c r="Z24" s="215">
        <v>0</v>
      </c>
      <c r="AA24" s="214">
        <v>1925.22</v>
      </c>
      <c r="AB24" s="214">
        <v>962.61</v>
      </c>
      <c r="AC24" s="215">
        <v>0</v>
      </c>
      <c r="AD24" s="215">
        <v>0</v>
      </c>
    </row>
    <row r="25" spans="1:30" ht="24.75" customHeight="1">
      <c r="A25" s="218" t="s">
        <v>63</v>
      </c>
      <c r="B25" s="219" t="s">
        <v>256</v>
      </c>
      <c r="C25" s="214">
        <v>4396.8</v>
      </c>
      <c r="D25" s="214">
        <v>2198.4</v>
      </c>
      <c r="E25" s="215">
        <v>0</v>
      </c>
      <c r="F25" s="215">
        <v>0</v>
      </c>
      <c r="G25" s="214">
        <v>1800</v>
      </c>
      <c r="H25" s="214">
        <v>900</v>
      </c>
      <c r="I25" s="215">
        <v>0</v>
      </c>
      <c r="J25" s="215">
        <v>0</v>
      </c>
      <c r="K25" s="214">
        <v>4000</v>
      </c>
      <c r="L25" s="214">
        <v>2000</v>
      </c>
      <c r="M25" s="215">
        <v>0</v>
      </c>
      <c r="N25" s="215">
        <v>0</v>
      </c>
      <c r="O25" s="214">
        <v>1968.92</v>
      </c>
      <c r="P25" s="214">
        <v>2000</v>
      </c>
      <c r="Q25" s="215">
        <v>0</v>
      </c>
      <c r="R25" s="215">
        <v>0</v>
      </c>
      <c r="S25" s="214">
        <v>1812.35</v>
      </c>
      <c r="T25" s="214">
        <v>1313.77</v>
      </c>
      <c r="U25" s="215">
        <v>0</v>
      </c>
      <c r="V25" s="215">
        <v>0</v>
      </c>
      <c r="W25" s="214">
        <v>3000</v>
      </c>
      <c r="X25" s="214">
        <v>1500</v>
      </c>
      <c r="Y25" s="215">
        <v>0</v>
      </c>
      <c r="Z25" s="215">
        <v>0</v>
      </c>
      <c r="AA25" s="214">
        <v>2120.62</v>
      </c>
      <c r="AB25" s="214">
        <v>1060.31</v>
      </c>
      <c r="AC25" s="215">
        <v>0</v>
      </c>
      <c r="AD25" s="215">
        <v>0</v>
      </c>
    </row>
    <row r="26" spans="1:30" ht="24.75" customHeight="1">
      <c r="A26" s="218" t="s">
        <v>64</v>
      </c>
      <c r="B26" s="219" t="s">
        <v>257</v>
      </c>
      <c r="C26" s="214">
        <v>5908.2</v>
      </c>
      <c r="D26" s="214">
        <v>2954.1</v>
      </c>
      <c r="E26" s="215">
        <v>0</v>
      </c>
      <c r="F26" s="215">
        <v>0</v>
      </c>
      <c r="G26" s="214">
        <v>2500</v>
      </c>
      <c r="H26" s="214">
        <v>1250</v>
      </c>
      <c r="I26" s="215">
        <v>0</v>
      </c>
      <c r="J26" s="215">
        <v>0</v>
      </c>
      <c r="K26" s="214">
        <v>4400</v>
      </c>
      <c r="L26" s="214">
        <v>2200</v>
      </c>
      <c r="M26" s="215">
        <v>0</v>
      </c>
      <c r="N26" s="215">
        <v>0</v>
      </c>
      <c r="O26" s="214">
        <v>3930.02</v>
      </c>
      <c r="P26" s="214">
        <v>2200</v>
      </c>
      <c r="Q26" s="215">
        <v>0</v>
      </c>
      <c r="R26" s="215">
        <v>0</v>
      </c>
      <c r="S26" s="214">
        <v>2075.34</v>
      </c>
      <c r="T26" s="214">
        <v>1668.02</v>
      </c>
      <c r="U26" s="215">
        <v>0</v>
      </c>
      <c r="V26" s="215">
        <v>0</v>
      </c>
      <c r="W26" s="214">
        <v>3500</v>
      </c>
      <c r="X26" s="214">
        <v>1750</v>
      </c>
      <c r="Y26" s="215">
        <v>0</v>
      </c>
      <c r="Z26" s="215">
        <v>0</v>
      </c>
      <c r="AA26" s="214">
        <v>2332.68</v>
      </c>
      <c r="AB26" s="214">
        <v>1166.34</v>
      </c>
      <c r="AC26" s="215">
        <v>0</v>
      </c>
      <c r="AD26" s="215">
        <v>0</v>
      </c>
    </row>
    <row r="27" spans="1:30" ht="24.75" customHeight="1">
      <c r="A27" s="218" t="s">
        <v>65</v>
      </c>
      <c r="B27" s="219" t="s">
        <v>258</v>
      </c>
      <c r="C27" s="214">
        <v>6457.8</v>
      </c>
      <c r="D27" s="214">
        <v>3228.9</v>
      </c>
      <c r="E27" s="215">
        <v>0</v>
      </c>
      <c r="F27" s="215">
        <v>0</v>
      </c>
      <c r="G27" s="214">
        <v>3500</v>
      </c>
      <c r="H27" s="214">
        <v>1750</v>
      </c>
      <c r="I27" s="215">
        <v>0</v>
      </c>
      <c r="J27" s="215">
        <v>0</v>
      </c>
      <c r="K27" s="214">
        <v>5325.52</v>
      </c>
      <c r="L27" s="214">
        <v>2662.76</v>
      </c>
      <c r="M27" s="215">
        <v>0</v>
      </c>
      <c r="N27" s="215">
        <v>0</v>
      </c>
      <c r="O27" s="214">
        <v>5916.02</v>
      </c>
      <c r="P27" s="214">
        <v>2958.01</v>
      </c>
      <c r="Q27" s="215">
        <v>0</v>
      </c>
      <c r="R27" s="215">
        <v>0</v>
      </c>
      <c r="S27" s="214">
        <v>5121.3</v>
      </c>
      <c r="T27" s="214">
        <v>3253.41</v>
      </c>
      <c r="U27" s="215">
        <v>0</v>
      </c>
      <c r="V27" s="215">
        <v>0</v>
      </c>
      <c r="W27" s="214">
        <v>3000</v>
      </c>
      <c r="X27" s="214">
        <v>2000</v>
      </c>
      <c r="Y27" s="215">
        <v>0</v>
      </c>
      <c r="Z27" s="215">
        <v>0</v>
      </c>
      <c r="AA27" s="214">
        <v>3432.48</v>
      </c>
      <c r="AB27" s="214">
        <v>1716.24</v>
      </c>
      <c r="AC27" s="215">
        <v>0</v>
      </c>
      <c r="AD27" s="215">
        <v>0</v>
      </c>
    </row>
    <row r="28" spans="1:30" ht="24.75" customHeight="1">
      <c r="A28" s="218" t="s">
        <v>66</v>
      </c>
      <c r="B28" s="219" t="s">
        <v>259</v>
      </c>
      <c r="C28" s="214">
        <v>7419.6</v>
      </c>
      <c r="D28" s="214">
        <v>3709.8</v>
      </c>
      <c r="E28" s="215">
        <v>0</v>
      </c>
      <c r="F28" s="215">
        <v>0</v>
      </c>
      <c r="G28" s="214">
        <v>5000</v>
      </c>
      <c r="H28" s="214">
        <v>2500</v>
      </c>
      <c r="I28" s="215">
        <v>0</v>
      </c>
      <c r="J28" s="215">
        <v>0</v>
      </c>
      <c r="K28" s="214">
        <v>7000</v>
      </c>
      <c r="L28" s="214">
        <v>3500</v>
      </c>
      <c r="M28" s="215">
        <v>0</v>
      </c>
      <c r="N28" s="215">
        <v>0</v>
      </c>
      <c r="O28" s="214">
        <v>8893.62</v>
      </c>
      <c r="P28" s="214">
        <v>4446.81</v>
      </c>
      <c r="Q28" s="215">
        <v>0</v>
      </c>
      <c r="R28" s="215">
        <v>0</v>
      </c>
      <c r="S28" s="214">
        <v>5121.3</v>
      </c>
      <c r="T28" s="214">
        <v>4149.52</v>
      </c>
      <c r="U28" s="215">
        <v>0</v>
      </c>
      <c r="V28" s="215">
        <v>0</v>
      </c>
      <c r="W28" s="214">
        <v>4575</v>
      </c>
      <c r="X28" s="214">
        <v>3050</v>
      </c>
      <c r="Y28" s="215">
        <v>0</v>
      </c>
      <c r="Z28" s="215">
        <v>0</v>
      </c>
      <c r="AA28" s="214">
        <v>4805.48</v>
      </c>
      <c r="AB28" s="214">
        <v>2402.74</v>
      </c>
      <c r="AC28" s="215">
        <v>0</v>
      </c>
      <c r="AD28" s="215">
        <v>0</v>
      </c>
    </row>
    <row r="29" spans="1:30" ht="24.75" customHeight="1">
      <c r="A29" s="218" t="s">
        <v>67</v>
      </c>
      <c r="B29" s="219" t="s">
        <v>260</v>
      </c>
      <c r="C29" s="214">
        <v>10305</v>
      </c>
      <c r="D29" s="214">
        <v>5152.5</v>
      </c>
      <c r="E29" s="215">
        <v>0</v>
      </c>
      <c r="F29" s="215">
        <v>0</v>
      </c>
      <c r="G29" s="214">
        <v>7000</v>
      </c>
      <c r="H29" s="214">
        <v>3500</v>
      </c>
      <c r="I29" s="215">
        <v>0</v>
      </c>
      <c r="J29" s="215">
        <v>0</v>
      </c>
      <c r="K29" s="214">
        <v>9600</v>
      </c>
      <c r="L29" s="214">
        <v>4800</v>
      </c>
      <c r="M29" s="215">
        <v>0</v>
      </c>
      <c r="N29" s="215">
        <v>0</v>
      </c>
      <c r="O29" s="214">
        <v>10000</v>
      </c>
      <c r="P29" s="214">
        <v>5000</v>
      </c>
      <c r="Q29" s="215">
        <v>0</v>
      </c>
      <c r="R29" s="215">
        <v>0</v>
      </c>
      <c r="S29" s="214">
        <v>6810.55</v>
      </c>
      <c r="T29" s="214">
        <v>6453.8</v>
      </c>
      <c r="U29" s="215">
        <v>0</v>
      </c>
      <c r="V29" s="215">
        <v>0</v>
      </c>
      <c r="W29" s="214">
        <v>6000</v>
      </c>
      <c r="X29" s="214">
        <v>4000</v>
      </c>
      <c r="Y29" s="215">
        <v>0</v>
      </c>
      <c r="Z29" s="215">
        <v>0</v>
      </c>
      <c r="AA29" s="214">
        <v>6864.98</v>
      </c>
      <c r="AB29" s="214">
        <v>3432.49</v>
      </c>
      <c r="AC29" s="215">
        <v>0</v>
      </c>
      <c r="AD29" s="215">
        <v>0</v>
      </c>
    </row>
    <row r="30" spans="1:30" ht="24.75" customHeight="1">
      <c r="A30" s="218" t="s">
        <v>68</v>
      </c>
      <c r="B30" s="219" t="s">
        <v>261</v>
      </c>
      <c r="C30" s="214">
        <v>82.44</v>
      </c>
      <c r="D30" s="214">
        <v>41.22</v>
      </c>
      <c r="E30" s="215">
        <v>0</v>
      </c>
      <c r="F30" s="215">
        <v>0</v>
      </c>
      <c r="G30" s="214">
        <v>181.87</v>
      </c>
      <c r="H30" s="214">
        <v>181.87</v>
      </c>
      <c r="I30" s="215">
        <v>0</v>
      </c>
      <c r="J30" s="215">
        <v>0</v>
      </c>
      <c r="K30" s="214">
        <v>334.46</v>
      </c>
      <c r="L30" s="214">
        <v>167.23</v>
      </c>
      <c r="M30" s="215">
        <v>0</v>
      </c>
      <c r="N30" s="215">
        <v>0</v>
      </c>
      <c r="O30" s="214">
        <v>100</v>
      </c>
      <c r="P30" s="214">
        <v>130</v>
      </c>
      <c r="Q30" s="215">
        <v>0</v>
      </c>
      <c r="R30" s="215">
        <v>0</v>
      </c>
      <c r="S30" s="214">
        <v>108.25</v>
      </c>
      <c r="T30" s="214">
        <v>78.66</v>
      </c>
      <c r="U30" s="215">
        <v>0</v>
      </c>
      <c r="V30" s="215">
        <v>0</v>
      </c>
      <c r="W30" s="214">
        <v>200</v>
      </c>
      <c r="X30" s="214">
        <v>100</v>
      </c>
      <c r="Y30" s="215">
        <v>0</v>
      </c>
      <c r="Z30" s="215">
        <v>0</v>
      </c>
      <c r="AA30" s="214">
        <v>378.4</v>
      </c>
      <c r="AB30" s="214">
        <v>189.2</v>
      </c>
      <c r="AC30" s="215">
        <v>0</v>
      </c>
      <c r="AD30" s="215">
        <v>0</v>
      </c>
    </row>
    <row r="31" spans="1:30" ht="24.75" customHeight="1">
      <c r="A31" s="218" t="s">
        <v>69</v>
      </c>
      <c r="B31" s="219" t="s">
        <v>262</v>
      </c>
      <c r="C31" s="214">
        <v>130.54</v>
      </c>
      <c r="D31" s="214">
        <v>65.27</v>
      </c>
      <c r="E31" s="215">
        <v>0</v>
      </c>
      <c r="F31" s="215">
        <v>0</v>
      </c>
      <c r="G31" s="214">
        <v>216.07</v>
      </c>
      <c r="H31" s="214">
        <v>216.07</v>
      </c>
      <c r="I31" s="215">
        <v>0</v>
      </c>
      <c r="J31" s="215">
        <v>0</v>
      </c>
      <c r="K31" s="214">
        <v>401.14</v>
      </c>
      <c r="L31" s="214">
        <v>200.57</v>
      </c>
      <c r="M31" s="215">
        <v>0</v>
      </c>
      <c r="N31" s="215">
        <v>0</v>
      </c>
      <c r="O31" s="214">
        <v>100</v>
      </c>
      <c r="P31" s="214">
        <v>140</v>
      </c>
      <c r="Q31" s="215">
        <v>0</v>
      </c>
      <c r="R31" s="215">
        <v>0</v>
      </c>
      <c r="S31" s="214">
        <v>155.25</v>
      </c>
      <c r="T31" s="214">
        <v>101.04</v>
      </c>
      <c r="U31" s="215">
        <v>0</v>
      </c>
      <c r="V31" s="215">
        <v>0</v>
      </c>
      <c r="W31" s="214">
        <v>240</v>
      </c>
      <c r="X31" s="214">
        <v>120</v>
      </c>
      <c r="Y31" s="215">
        <v>0</v>
      </c>
      <c r="Z31" s="215">
        <v>0</v>
      </c>
      <c r="AA31" s="214">
        <v>378.4</v>
      </c>
      <c r="AB31" s="214">
        <v>189.2</v>
      </c>
      <c r="AC31" s="215">
        <v>0</v>
      </c>
      <c r="AD31" s="215">
        <v>0</v>
      </c>
    </row>
    <row r="32" spans="1:30" ht="24.75" customHeight="1">
      <c r="A32" s="218" t="s">
        <v>70</v>
      </c>
      <c r="B32" s="219" t="s">
        <v>263</v>
      </c>
      <c r="C32" s="214">
        <v>233.58</v>
      </c>
      <c r="D32" s="214">
        <v>116.79</v>
      </c>
      <c r="E32" s="215">
        <v>0</v>
      </c>
      <c r="F32" s="215">
        <v>0</v>
      </c>
      <c r="G32" s="214">
        <v>350.59</v>
      </c>
      <c r="H32" s="214">
        <v>350.59</v>
      </c>
      <c r="I32" s="215">
        <v>0</v>
      </c>
      <c r="J32" s="215">
        <v>0</v>
      </c>
      <c r="K32" s="214">
        <v>501.14</v>
      </c>
      <c r="L32" s="214">
        <v>250.57</v>
      </c>
      <c r="M32" s="215">
        <v>0</v>
      </c>
      <c r="N32" s="215">
        <v>0</v>
      </c>
      <c r="O32" s="214">
        <v>100</v>
      </c>
      <c r="P32" s="214">
        <v>150</v>
      </c>
      <c r="Q32" s="215">
        <v>0</v>
      </c>
      <c r="R32" s="215">
        <v>0</v>
      </c>
      <c r="S32" s="214">
        <v>225.75</v>
      </c>
      <c r="T32" s="214">
        <v>134.62</v>
      </c>
      <c r="U32" s="215">
        <v>0</v>
      </c>
      <c r="V32" s="215">
        <v>0</v>
      </c>
      <c r="W32" s="214">
        <v>280</v>
      </c>
      <c r="X32" s="214">
        <v>140</v>
      </c>
      <c r="Y32" s="215">
        <v>0</v>
      </c>
      <c r="Z32" s="215">
        <v>0</v>
      </c>
      <c r="AA32" s="214">
        <v>523.84</v>
      </c>
      <c r="AB32" s="214">
        <v>261.92</v>
      </c>
      <c r="AC32" s="215">
        <v>0</v>
      </c>
      <c r="AD32" s="215">
        <v>0</v>
      </c>
    </row>
    <row r="33" spans="1:30" ht="24.75" customHeight="1">
      <c r="A33" s="147" t="s">
        <v>71</v>
      </c>
      <c r="B33" s="213" t="s">
        <v>264</v>
      </c>
      <c r="C33" s="214">
        <v>206.1</v>
      </c>
      <c r="D33" s="214">
        <v>103.05</v>
      </c>
      <c r="E33" s="215">
        <v>0</v>
      </c>
      <c r="F33" s="215">
        <v>0</v>
      </c>
      <c r="G33" s="214">
        <v>447.07</v>
      </c>
      <c r="H33" s="214">
        <v>223.54</v>
      </c>
      <c r="I33" s="215">
        <v>0</v>
      </c>
      <c r="J33" s="215">
        <v>0</v>
      </c>
      <c r="K33" s="214">
        <v>150</v>
      </c>
      <c r="L33" s="214">
        <v>75</v>
      </c>
      <c r="M33" s="215">
        <v>0</v>
      </c>
      <c r="N33" s="215">
        <v>0</v>
      </c>
      <c r="O33" s="214">
        <v>35</v>
      </c>
      <c r="P33" s="214">
        <v>70</v>
      </c>
      <c r="Q33" s="215">
        <v>0</v>
      </c>
      <c r="R33" s="215">
        <v>0</v>
      </c>
      <c r="S33" s="214">
        <v>218.39</v>
      </c>
      <c r="T33" s="214">
        <v>196.23</v>
      </c>
      <c r="U33" s="215">
        <v>0</v>
      </c>
      <c r="V33" s="215">
        <v>0</v>
      </c>
      <c r="W33" s="214">
        <v>160</v>
      </c>
      <c r="X33" s="214">
        <v>80</v>
      </c>
      <c r="Y33" s="215">
        <v>0</v>
      </c>
      <c r="Z33" s="215">
        <v>0</v>
      </c>
      <c r="AA33" s="214">
        <v>407.34</v>
      </c>
      <c r="AB33" s="214">
        <v>203.67</v>
      </c>
      <c r="AC33" s="215">
        <v>0</v>
      </c>
      <c r="AD33" s="215">
        <v>0</v>
      </c>
    </row>
    <row r="34" spans="1:30" ht="24.75" customHeight="1">
      <c r="A34" s="147" t="s">
        <v>72</v>
      </c>
      <c r="B34" s="213" t="s">
        <v>265</v>
      </c>
      <c r="C34" s="214">
        <v>109.92</v>
      </c>
      <c r="D34" s="214">
        <v>54.96</v>
      </c>
      <c r="E34" s="215">
        <v>0</v>
      </c>
      <c r="F34" s="215">
        <v>0</v>
      </c>
      <c r="G34" s="214">
        <v>308</v>
      </c>
      <c r="H34" s="214">
        <v>739.2</v>
      </c>
      <c r="I34" s="215">
        <v>0</v>
      </c>
      <c r="J34" s="215">
        <v>0</v>
      </c>
      <c r="K34" s="214">
        <v>340</v>
      </c>
      <c r="L34" s="214">
        <v>170</v>
      </c>
      <c r="M34" s="215">
        <v>0</v>
      </c>
      <c r="N34" s="215">
        <v>0</v>
      </c>
      <c r="O34" s="214">
        <v>136.74</v>
      </c>
      <c r="P34" s="214">
        <v>68.37</v>
      </c>
      <c r="Q34" s="215">
        <v>0</v>
      </c>
      <c r="R34" s="215">
        <v>0</v>
      </c>
      <c r="S34" s="214">
        <v>344.5</v>
      </c>
      <c r="T34" s="214">
        <v>266.03</v>
      </c>
      <c r="U34" s="215">
        <v>0</v>
      </c>
      <c r="V34" s="215">
        <v>0</v>
      </c>
      <c r="W34" s="214">
        <v>280</v>
      </c>
      <c r="X34" s="214">
        <v>140</v>
      </c>
      <c r="Y34" s="215">
        <v>0</v>
      </c>
      <c r="Z34" s="215">
        <v>0</v>
      </c>
      <c r="AA34" s="214">
        <v>98.78</v>
      </c>
      <c r="AB34" s="214">
        <v>49.39</v>
      </c>
      <c r="AC34" s="215">
        <v>0</v>
      </c>
      <c r="AD34" s="215">
        <v>0</v>
      </c>
    </row>
    <row r="35" spans="1:30" ht="24.75" customHeight="1">
      <c r="A35" s="147" t="s">
        <v>73</v>
      </c>
      <c r="B35" s="213" t="s">
        <v>266</v>
      </c>
      <c r="C35" s="214">
        <v>164.88</v>
      </c>
      <c r="D35" s="214">
        <v>82.44</v>
      </c>
      <c r="E35" s="215">
        <v>0</v>
      </c>
      <c r="F35" s="215">
        <v>0</v>
      </c>
      <c r="G35" s="214">
        <v>420</v>
      </c>
      <c r="H35" s="214">
        <v>1008</v>
      </c>
      <c r="I35" s="215">
        <v>0</v>
      </c>
      <c r="J35" s="215">
        <v>0</v>
      </c>
      <c r="K35" s="214">
        <v>460</v>
      </c>
      <c r="L35" s="214">
        <v>230</v>
      </c>
      <c r="M35" s="215">
        <v>0</v>
      </c>
      <c r="N35" s="215">
        <v>0</v>
      </c>
      <c r="O35" s="214">
        <v>191.42</v>
      </c>
      <c r="P35" s="214">
        <v>95.71</v>
      </c>
      <c r="Q35" s="215">
        <v>0</v>
      </c>
      <c r="R35" s="215">
        <v>0</v>
      </c>
      <c r="S35" s="214">
        <v>350.2</v>
      </c>
      <c r="T35" s="214">
        <v>269.16</v>
      </c>
      <c r="U35" s="215">
        <v>0</v>
      </c>
      <c r="V35" s="215">
        <v>0</v>
      </c>
      <c r="W35" s="214">
        <v>600</v>
      </c>
      <c r="X35" s="214">
        <v>300</v>
      </c>
      <c r="Y35" s="215">
        <v>0</v>
      </c>
      <c r="Z35" s="215">
        <v>0</v>
      </c>
      <c r="AA35" s="214">
        <v>162.94</v>
      </c>
      <c r="AB35" s="214">
        <v>81.47</v>
      </c>
      <c r="AC35" s="215">
        <v>0</v>
      </c>
      <c r="AD35" s="215">
        <v>0</v>
      </c>
    </row>
    <row r="36" spans="1:30" ht="24.75" customHeight="1">
      <c r="A36" s="147" t="s">
        <v>74</v>
      </c>
      <c r="B36" s="213" t="s">
        <v>267</v>
      </c>
      <c r="C36" s="214">
        <v>329.76</v>
      </c>
      <c r="D36" s="214">
        <v>164.88</v>
      </c>
      <c r="E36" s="215">
        <v>0</v>
      </c>
      <c r="F36" s="215">
        <v>0</v>
      </c>
      <c r="G36" s="214">
        <v>588</v>
      </c>
      <c r="H36" s="214">
        <v>1411.2</v>
      </c>
      <c r="I36" s="215">
        <v>0</v>
      </c>
      <c r="J36" s="215">
        <v>0</v>
      </c>
      <c r="K36" s="214">
        <v>640</v>
      </c>
      <c r="L36" s="214">
        <v>320</v>
      </c>
      <c r="M36" s="215">
        <v>0</v>
      </c>
      <c r="N36" s="215">
        <v>0</v>
      </c>
      <c r="O36" s="214">
        <v>382.84</v>
      </c>
      <c r="P36" s="214">
        <v>191.42</v>
      </c>
      <c r="Q36" s="215">
        <v>0</v>
      </c>
      <c r="R36" s="215">
        <v>0</v>
      </c>
      <c r="S36" s="214">
        <v>412.26</v>
      </c>
      <c r="T36" s="214">
        <v>300.18</v>
      </c>
      <c r="U36" s="215">
        <v>0</v>
      </c>
      <c r="V36" s="215">
        <v>0</v>
      </c>
      <c r="W36" s="214">
        <v>960</v>
      </c>
      <c r="X36" s="214">
        <v>480</v>
      </c>
      <c r="Y36" s="215">
        <v>0</v>
      </c>
      <c r="Z36" s="215">
        <v>0</v>
      </c>
      <c r="AA36" s="214">
        <v>203.68</v>
      </c>
      <c r="AB36" s="214">
        <v>101.84</v>
      </c>
      <c r="AC36" s="215">
        <v>0</v>
      </c>
      <c r="AD36" s="215">
        <v>0</v>
      </c>
    </row>
    <row r="37" spans="1:30" ht="24.75" customHeight="1">
      <c r="A37" s="147" t="s">
        <v>75</v>
      </c>
      <c r="B37" s="213" t="s">
        <v>268</v>
      </c>
      <c r="C37" s="214">
        <v>412.2</v>
      </c>
      <c r="D37" s="214">
        <v>206.1</v>
      </c>
      <c r="E37" s="215">
        <v>0</v>
      </c>
      <c r="F37" s="215">
        <v>0</v>
      </c>
      <c r="G37" s="214">
        <v>700</v>
      </c>
      <c r="H37" s="214">
        <v>1680</v>
      </c>
      <c r="I37" s="215">
        <v>0</v>
      </c>
      <c r="J37" s="215">
        <v>0</v>
      </c>
      <c r="K37" s="214">
        <v>760</v>
      </c>
      <c r="L37" s="214">
        <v>380</v>
      </c>
      <c r="M37" s="215">
        <v>0</v>
      </c>
      <c r="N37" s="215">
        <v>0</v>
      </c>
      <c r="O37" s="214">
        <v>646.36</v>
      </c>
      <c r="P37" s="214">
        <v>323.18</v>
      </c>
      <c r="Q37" s="215">
        <v>0</v>
      </c>
      <c r="R37" s="215">
        <v>0</v>
      </c>
      <c r="S37" s="214">
        <v>451.67</v>
      </c>
      <c r="T37" s="214">
        <v>322.78</v>
      </c>
      <c r="U37" s="215">
        <v>0</v>
      </c>
      <c r="V37" s="215">
        <v>0</v>
      </c>
      <c r="W37" s="214">
        <v>1980</v>
      </c>
      <c r="X37" s="214">
        <v>990</v>
      </c>
      <c r="Y37" s="215">
        <v>0</v>
      </c>
      <c r="Z37" s="215">
        <v>0</v>
      </c>
      <c r="AA37" s="214">
        <v>722.2</v>
      </c>
      <c r="AB37" s="214">
        <v>361.1</v>
      </c>
      <c r="AC37" s="215">
        <v>0</v>
      </c>
      <c r="AD37" s="215">
        <v>0</v>
      </c>
    </row>
    <row r="38" spans="1:30" ht="24.75" customHeight="1">
      <c r="A38" s="147" t="s">
        <v>76</v>
      </c>
      <c r="B38" s="213" t="s">
        <v>269</v>
      </c>
      <c r="C38" s="214">
        <v>618.3</v>
      </c>
      <c r="D38" s="214">
        <v>309.15</v>
      </c>
      <c r="E38" s="215">
        <v>0</v>
      </c>
      <c r="F38" s="215">
        <v>0</v>
      </c>
      <c r="G38" s="214">
        <v>868</v>
      </c>
      <c r="H38" s="214">
        <v>2083.2</v>
      </c>
      <c r="I38" s="215">
        <v>0</v>
      </c>
      <c r="J38" s="215">
        <v>0</v>
      </c>
      <c r="K38" s="214">
        <v>940</v>
      </c>
      <c r="L38" s="214">
        <v>470</v>
      </c>
      <c r="M38" s="215">
        <v>0</v>
      </c>
      <c r="N38" s="215">
        <v>0</v>
      </c>
      <c r="O38" s="214">
        <v>683.66</v>
      </c>
      <c r="P38" s="214">
        <v>341.83</v>
      </c>
      <c r="Q38" s="215">
        <v>0</v>
      </c>
      <c r="R38" s="215">
        <v>0</v>
      </c>
      <c r="S38" s="214">
        <v>1696.25</v>
      </c>
      <c r="T38" s="214">
        <v>1132.76</v>
      </c>
      <c r="U38" s="215">
        <v>0</v>
      </c>
      <c r="V38" s="215">
        <v>0</v>
      </c>
      <c r="W38" s="214">
        <v>4000</v>
      </c>
      <c r="X38" s="214">
        <v>2000</v>
      </c>
      <c r="Y38" s="215">
        <v>0</v>
      </c>
      <c r="Z38" s="215">
        <v>0</v>
      </c>
      <c r="AA38" s="214">
        <v>767.72</v>
      </c>
      <c r="AB38" s="214">
        <v>383.86</v>
      </c>
      <c r="AC38" s="215">
        <v>0</v>
      </c>
      <c r="AD38" s="215">
        <v>0</v>
      </c>
    </row>
    <row r="39" spans="1:30" ht="24.75" customHeight="1">
      <c r="A39" s="147" t="s">
        <v>77</v>
      </c>
      <c r="B39" s="213" t="s">
        <v>270</v>
      </c>
      <c r="C39" s="214">
        <v>1167.9</v>
      </c>
      <c r="D39" s="214">
        <v>583.95</v>
      </c>
      <c r="E39" s="215">
        <v>0</v>
      </c>
      <c r="F39" s="215">
        <v>0</v>
      </c>
      <c r="G39" s="214">
        <v>1540</v>
      </c>
      <c r="H39" s="214">
        <v>3696</v>
      </c>
      <c r="I39" s="215">
        <v>0</v>
      </c>
      <c r="J39" s="215">
        <v>0</v>
      </c>
      <c r="K39" s="214">
        <v>1440</v>
      </c>
      <c r="L39" s="214">
        <v>720</v>
      </c>
      <c r="M39" s="215">
        <v>0</v>
      </c>
      <c r="N39" s="215">
        <v>0</v>
      </c>
      <c r="O39" s="214">
        <v>720.94</v>
      </c>
      <c r="P39" s="214">
        <v>360.47</v>
      </c>
      <c r="Q39" s="215">
        <v>0</v>
      </c>
      <c r="R39" s="215">
        <v>0</v>
      </c>
      <c r="S39" s="214">
        <v>1706.03</v>
      </c>
      <c r="T39" s="214">
        <v>1137.41</v>
      </c>
      <c r="U39" s="215">
        <v>0</v>
      </c>
      <c r="V39" s="215">
        <v>0</v>
      </c>
      <c r="W39" s="214">
        <v>4800</v>
      </c>
      <c r="X39" s="214">
        <v>2400</v>
      </c>
      <c r="Y39" s="215">
        <v>0</v>
      </c>
      <c r="Z39" s="215">
        <v>0</v>
      </c>
      <c r="AA39" s="214">
        <v>860.3</v>
      </c>
      <c r="AB39" s="214">
        <v>430.15</v>
      </c>
      <c r="AC39" s="215">
        <v>0</v>
      </c>
      <c r="AD39" s="215">
        <v>0</v>
      </c>
    </row>
    <row r="40" spans="1:30" ht="24.75" customHeight="1">
      <c r="A40" s="147" t="s">
        <v>78</v>
      </c>
      <c r="B40" s="213" t="s">
        <v>271</v>
      </c>
      <c r="C40" s="214">
        <v>1511.4</v>
      </c>
      <c r="D40" s="214">
        <v>755.7</v>
      </c>
      <c r="E40" s="215">
        <v>0</v>
      </c>
      <c r="F40" s="215">
        <v>0</v>
      </c>
      <c r="G40" s="214">
        <v>2660</v>
      </c>
      <c r="H40" s="214">
        <v>6384</v>
      </c>
      <c r="I40" s="215">
        <v>0</v>
      </c>
      <c r="J40" s="215">
        <v>0</v>
      </c>
      <c r="K40" s="214">
        <v>2600</v>
      </c>
      <c r="L40" s="214">
        <v>1300</v>
      </c>
      <c r="M40" s="215">
        <v>0</v>
      </c>
      <c r="N40" s="215">
        <v>0</v>
      </c>
      <c r="O40" s="214">
        <v>3000</v>
      </c>
      <c r="P40" s="214">
        <v>1500</v>
      </c>
      <c r="Q40" s="215">
        <v>0</v>
      </c>
      <c r="R40" s="215">
        <v>0</v>
      </c>
      <c r="S40" s="214">
        <v>2321.3</v>
      </c>
      <c r="T40" s="214">
        <v>1442.9</v>
      </c>
      <c r="U40" s="215">
        <v>0</v>
      </c>
      <c r="V40" s="215">
        <v>0</v>
      </c>
      <c r="W40" s="214">
        <v>6600</v>
      </c>
      <c r="X40" s="214">
        <v>3300</v>
      </c>
      <c r="Y40" s="215">
        <v>0</v>
      </c>
      <c r="Z40" s="215">
        <v>0</v>
      </c>
      <c r="AA40" s="214">
        <v>1050.34</v>
      </c>
      <c r="AB40" s="214">
        <v>525.17</v>
      </c>
      <c r="AC40" s="215">
        <v>0</v>
      </c>
      <c r="AD40" s="215">
        <v>0</v>
      </c>
    </row>
    <row r="41" spans="1:30" ht="24.75" customHeight="1">
      <c r="A41" s="147" t="s">
        <v>79</v>
      </c>
      <c r="B41" s="213" t="s">
        <v>272</v>
      </c>
      <c r="C41" s="220">
        <v>0</v>
      </c>
      <c r="D41" s="214">
        <v>3.44</v>
      </c>
      <c r="E41" s="215">
        <v>0</v>
      </c>
      <c r="F41" s="215">
        <v>0</v>
      </c>
      <c r="G41" s="220">
        <v>0</v>
      </c>
      <c r="H41" s="214">
        <v>1.33</v>
      </c>
      <c r="I41" s="215">
        <v>0</v>
      </c>
      <c r="J41" s="215">
        <v>0</v>
      </c>
      <c r="K41" s="220">
        <v>0</v>
      </c>
      <c r="L41" s="214">
        <v>10</v>
      </c>
      <c r="M41" s="215">
        <v>0</v>
      </c>
      <c r="N41" s="215">
        <v>0</v>
      </c>
      <c r="O41" s="220">
        <v>0</v>
      </c>
      <c r="P41" s="214">
        <v>72</v>
      </c>
      <c r="Q41" s="215">
        <v>0</v>
      </c>
      <c r="R41" s="215">
        <v>0</v>
      </c>
      <c r="S41" s="220">
        <v>0</v>
      </c>
      <c r="T41" s="214">
        <v>31.68</v>
      </c>
      <c r="U41" s="215">
        <v>0</v>
      </c>
      <c r="V41" s="215">
        <v>0</v>
      </c>
      <c r="W41" s="220">
        <v>0</v>
      </c>
      <c r="X41" s="214">
        <v>7</v>
      </c>
      <c r="Y41" s="215">
        <v>0</v>
      </c>
      <c r="Z41" s="215">
        <v>0</v>
      </c>
      <c r="AA41" s="220">
        <v>0</v>
      </c>
      <c r="AB41" s="214">
        <v>1</v>
      </c>
      <c r="AC41" s="215">
        <v>0</v>
      </c>
      <c r="AD41" s="215">
        <v>0</v>
      </c>
    </row>
    <row r="42" spans="1:30" ht="24.75" customHeight="1">
      <c r="A42" s="147" t="s">
        <v>273</v>
      </c>
      <c r="B42" s="213" t="s">
        <v>274</v>
      </c>
      <c r="C42" s="220">
        <v>0</v>
      </c>
      <c r="D42" s="214">
        <v>13.74</v>
      </c>
      <c r="E42" s="215">
        <v>0</v>
      </c>
      <c r="F42" s="215">
        <v>0</v>
      </c>
      <c r="G42" s="220">
        <v>0</v>
      </c>
      <c r="H42" s="214">
        <v>9.5</v>
      </c>
      <c r="I42" s="215">
        <v>0</v>
      </c>
      <c r="J42" s="215">
        <v>0</v>
      </c>
      <c r="K42" s="220">
        <v>0</v>
      </c>
      <c r="L42" s="214">
        <v>30</v>
      </c>
      <c r="M42" s="215">
        <v>0</v>
      </c>
      <c r="N42" s="215">
        <v>0</v>
      </c>
      <c r="O42" s="220">
        <v>0</v>
      </c>
      <c r="P42" s="214">
        <v>20</v>
      </c>
      <c r="Q42" s="215">
        <v>0</v>
      </c>
      <c r="R42" s="215">
        <v>0</v>
      </c>
      <c r="S42" s="220">
        <v>0</v>
      </c>
      <c r="T42" s="214">
        <v>4.6</v>
      </c>
      <c r="U42" s="215">
        <v>0</v>
      </c>
      <c r="V42" s="215">
        <v>0</v>
      </c>
      <c r="W42" s="220">
        <v>0</v>
      </c>
      <c r="X42" s="214">
        <v>21</v>
      </c>
      <c r="Y42" s="215">
        <v>0</v>
      </c>
      <c r="Z42" s="215">
        <v>0</v>
      </c>
      <c r="AA42" s="220">
        <v>0</v>
      </c>
      <c r="AB42" s="214">
        <v>3</v>
      </c>
      <c r="AC42" s="215">
        <v>0</v>
      </c>
      <c r="AD42" s="215">
        <v>0</v>
      </c>
    </row>
    <row r="43" spans="1:30" ht="24.75" customHeight="1">
      <c r="A43" s="147" t="s">
        <v>275</v>
      </c>
      <c r="B43" s="213" t="s">
        <v>276</v>
      </c>
      <c r="C43" s="220">
        <v>0</v>
      </c>
      <c r="D43" s="220">
        <v>0</v>
      </c>
      <c r="E43" s="221">
        <v>200</v>
      </c>
      <c r="F43" s="221">
        <v>200</v>
      </c>
      <c r="G43" s="220">
        <v>0</v>
      </c>
      <c r="H43" s="220">
        <v>0</v>
      </c>
      <c r="I43" s="221">
        <v>200</v>
      </c>
      <c r="J43" s="221">
        <v>200</v>
      </c>
      <c r="K43" s="220">
        <v>0</v>
      </c>
      <c r="L43" s="220">
        <v>0</v>
      </c>
      <c r="M43" s="221">
        <v>160</v>
      </c>
      <c r="N43" s="221">
        <v>160</v>
      </c>
      <c r="O43" s="220">
        <v>0</v>
      </c>
      <c r="P43" s="220">
        <v>0</v>
      </c>
      <c r="Q43" s="221">
        <v>200</v>
      </c>
      <c r="R43" s="221">
        <v>200</v>
      </c>
      <c r="S43" s="220">
        <v>0</v>
      </c>
      <c r="T43" s="220">
        <v>0</v>
      </c>
      <c r="U43" s="221">
        <v>244</v>
      </c>
      <c r="V43" s="221">
        <v>242</v>
      </c>
      <c r="W43" s="220">
        <v>0</v>
      </c>
      <c r="X43" s="220">
        <v>0</v>
      </c>
      <c r="Y43" s="221">
        <v>200</v>
      </c>
      <c r="Z43" s="221">
        <v>200</v>
      </c>
      <c r="AA43" s="220">
        <v>0</v>
      </c>
      <c r="AB43" s="220">
        <v>0</v>
      </c>
      <c r="AC43" s="221">
        <v>200</v>
      </c>
      <c r="AD43" s="221">
        <v>200</v>
      </c>
    </row>
    <row r="44" spans="1:30" ht="24.75" customHeight="1">
      <c r="A44" s="147" t="s">
        <v>277</v>
      </c>
      <c r="B44" s="213" t="s">
        <v>278</v>
      </c>
      <c r="C44" s="220">
        <v>0</v>
      </c>
      <c r="D44" s="220">
        <v>0</v>
      </c>
      <c r="E44" s="215">
        <v>0</v>
      </c>
      <c r="F44" s="221">
        <v>115</v>
      </c>
      <c r="G44" s="220">
        <v>0</v>
      </c>
      <c r="H44" s="220">
        <v>0</v>
      </c>
      <c r="I44" s="215">
        <v>0</v>
      </c>
      <c r="J44" s="221">
        <v>140</v>
      </c>
      <c r="K44" s="220">
        <v>0</v>
      </c>
      <c r="L44" s="220">
        <v>0</v>
      </c>
      <c r="M44" s="215">
        <v>0</v>
      </c>
      <c r="N44" s="221">
        <v>110</v>
      </c>
      <c r="O44" s="220">
        <v>0</v>
      </c>
      <c r="P44" s="220">
        <v>0</v>
      </c>
      <c r="Q44" s="215">
        <v>0</v>
      </c>
      <c r="R44" s="221">
        <v>120</v>
      </c>
      <c r="S44" s="220">
        <v>0</v>
      </c>
      <c r="T44" s="220">
        <v>0</v>
      </c>
      <c r="U44" s="215">
        <v>0</v>
      </c>
      <c r="V44" s="221">
        <v>123</v>
      </c>
      <c r="W44" s="220">
        <v>0</v>
      </c>
      <c r="X44" s="220">
        <v>0</v>
      </c>
      <c r="Y44" s="215">
        <v>0</v>
      </c>
      <c r="Z44" s="221">
        <v>108</v>
      </c>
      <c r="AA44" s="220">
        <v>0</v>
      </c>
      <c r="AB44" s="220">
        <v>0</v>
      </c>
      <c r="AC44" s="215">
        <v>0</v>
      </c>
      <c r="AD44" s="221">
        <v>150</v>
      </c>
    </row>
    <row r="45" spans="1:30" ht="24.75" customHeight="1">
      <c r="A45" s="147" t="s">
        <v>279</v>
      </c>
      <c r="B45" s="213" t="s">
        <v>280</v>
      </c>
      <c r="C45" s="220">
        <v>0</v>
      </c>
      <c r="D45" s="220">
        <v>0</v>
      </c>
      <c r="E45" s="221">
        <v>200</v>
      </c>
      <c r="F45" s="221">
        <v>215</v>
      </c>
      <c r="G45" s="220">
        <v>0</v>
      </c>
      <c r="H45" s="220">
        <v>0</v>
      </c>
      <c r="I45" s="221">
        <v>300</v>
      </c>
      <c r="J45" s="221">
        <v>300</v>
      </c>
      <c r="K45" s="220">
        <v>0</v>
      </c>
      <c r="L45" s="220">
        <v>0</v>
      </c>
      <c r="M45" s="221">
        <v>160</v>
      </c>
      <c r="N45" s="221">
        <v>170</v>
      </c>
      <c r="O45" s="220">
        <v>0</v>
      </c>
      <c r="P45" s="220">
        <v>0</v>
      </c>
      <c r="Q45" s="221">
        <v>200</v>
      </c>
      <c r="R45" s="221">
        <v>200</v>
      </c>
      <c r="S45" s="220">
        <v>0</v>
      </c>
      <c r="T45" s="220">
        <v>0</v>
      </c>
      <c r="U45" s="221">
        <v>244</v>
      </c>
      <c r="V45" s="221">
        <v>242</v>
      </c>
      <c r="W45" s="220">
        <v>0</v>
      </c>
      <c r="X45" s="220">
        <v>0</v>
      </c>
      <c r="Y45" s="221">
        <v>200</v>
      </c>
      <c r="Z45" s="221">
        <v>208</v>
      </c>
      <c r="AA45" s="220">
        <v>0</v>
      </c>
      <c r="AB45" s="220">
        <v>0</v>
      </c>
      <c r="AC45" s="221">
        <v>495</v>
      </c>
      <c r="AD45" s="221">
        <v>495</v>
      </c>
    </row>
    <row r="46" spans="1:30" ht="24.75" customHeight="1">
      <c r="A46" s="222" t="s">
        <v>281</v>
      </c>
      <c r="B46" s="223" t="s">
        <v>282</v>
      </c>
      <c r="C46" s="220">
        <v>0</v>
      </c>
      <c r="D46" s="214">
        <v>2.29</v>
      </c>
      <c r="E46" s="215">
        <v>0</v>
      </c>
      <c r="F46" s="215">
        <v>0</v>
      </c>
      <c r="G46" s="220">
        <v>0</v>
      </c>
      <c r="H46" s="214">
        <v>4.12</v>
      </c>
      <c r="I46" s="215">
        <v>0</v>
      </c>
      <c r="J46" s="215">
        <v>0</v>
      </c>
      <c r="K46" s="220">
        <v>0</v>
      </c>
      <c r="L46" s="214">
        <v>5.18</v>
      </c>
      <c r="M46" s="215">
        <v>0</v>
      </c>
      <c r="N46" s="215">
        <v>0</v>
      </c>
      <c r="O46" s="220">
        <v>0</v>
      </c>
      <c r="P46" s="214">
        <v>10</v>
      </c>
      <c r="Q46" s="215">
        <v>0</v>
      </c>
      <c r="R46" s="215">
        <v>0</v>
      </c>
      <c r="S46" s="220">
        <v>0</v>
      </c>
      <c r="T46" s="214">
        <v>4.84</v>
      </c>
      <c r="U46" s="215">
        <v>0</v>
      </c>
      <c r="V46" s="215">
        <v>0</v>
      </c>
      <c r="W46" s="220">
        <v>0</v>
      </c>
      <c r="X46" s="214">
        <v>6</v>
      </c>
      <c r="Y46" s="215">
        <v>0</v>
      </c>
      <c r="Z46" s="215">
        <v>0</v>
      </c>
      <c r="AA46" s="220">
        <v>0</v>
      </c>
      <c r="AB46" s="214">
        <v>0.1</v>
      </c>
      <c r="AC46" s="215">
        <v>0</v>
      </c>
      <c r="AD46" s="215">
        <v>0</v>
      </c>
    </row>
    <row r="47" spans="1:30" ht="24.75" customHeight="1">
      <c r="A47" s="222" t="s">
        <v>283</v>
      </c>
      <c r="B47" s="223" t="s">
        <v>284</v>
      </c>
      <c r="C47" s="220">
        <v>0</v>
      </c>
      <c r="D47" s="214">
        <v>2.1</v>
      </c>
      <c r="E47" s="215">
        <v>0</v>
      </c>
      <c r="F47" s="215">
        <v>0</v>
      </c>
      <c r="G47" s="220">
        <v>0</v>
      </c>
      <c r="H47" s="214">
        <v>3</v>
      </c>
      <c r="I47" s="215">
        <v>0</v>
      </c>
      <c r="J47" s="215">
        <v>0</v>
      </c>
      <c r="K47" s="220">
        <v>0</v>
      </c>
      <c r="L47" s="214">
        <v>3.94</v>
      </c>
      <c r="M47" s="215">
        <v>0</v>
      </c>
      <c r="N47" s="215">
        <v>0</v>
      </c>
      <c r="O47" s="220">
        <v>0</v>
      </c>
      <c r="P47" s="214">
        <v>5</v>
      </c>
      <c r="Q47" s="215">
        <v>0</v>
      </c>
      <c r="R47" s="215">
        <v>0</v>
      </c>
      <c r="S47" s="220">
        <v>0</v>
      </c>
      <c r="T47" s="214">
        <v>1.2</v>
      </c>
      <c r="U47" s="215">
        <v>0</v>
      </c>
      <c r="V47" s="215">
        <v>0</v>
      </c>
      <c r="W47" s="220">
        <v>0</v>
      </c>
      <c r="X47" s="214">
        <v>6</v>
      </c>
      <c r="Y47" s="215">
        <v>0</v>
      </c>
      <c r="Z47" s="215">
        <v>0</v>
      </c>
      <c r="AA47" s="220">
        <v>0</v>
      </c>
      <c r="AB47" s="214">
        <v>0.1</v>
      </c>
      <c r="AC47" s="215">
        <v>0</v>
      </c>
      <c r="AD47" s="215">
        <v>0</v>
      </c>
    </row>
    <row r="48" spans="1:30" ht="24.75" customHeight="1">
      <c r="A48" s="222" t="s">
        <v>285</v>
      </c>
      <c r="B48" s="223" t="s">
        <v>286</v>
      </c>
      <c r="C48" s="220">
        <v>0</v>
      </c>
      <c r="D48" s="214">
        <v>1.99</v>
      </c>
      <c r="E48" s="215">
        <v>0</v>
      </c>
      <c r="F48" s="215">
        <v>0</v>
      </c>
      <c r="G48" s="220">
        <v>0</v>
      </c>
      <c r="H48" s="214">
        <v>3</v>
      </c>
      <c r="I48" s="215">
        <v>0</v>
      </c>
      <c r="J48" s="215">
        <v>0</v>
      </c>
      <c r="K48" s="220">
        <v>0</v>
      </c>
      <c r="L48" s="214">
        <v>3.94</v>
      </c>
      <c r="M48" s="215">
        <v>0</v>
      </c>
      <c r="N48" s="215">
        <v>0</v>
      </c>
      <c r="O48" s="220">
        <v>0</v>
      </c>
      <c r="P48" s="214">
        <v>0.7</v>
      </c>
      <c r="Q48" s="215">
        <v>0</v>
      </c>
      <c r="R48" s="215">
        <v>0</v>
      </c>
      <c r="S48" s="220">
        <v>0</v>
      </c>
      <c r="T48" s="214">
        <v>1.2</v>
      </c>
      <c r="U48" s="215">
        <v>0</v>
      </c>
      <c r="V48" s="215">
        <v>0</v>
      </c>
      <c r="W48" s="220">
        <v>0</v>
      </c>
      <c r="X48" s="214">
        <v>6</v>
      </c>
      <c r="Y48" s="215">
        <v>0</v>
      </c>
      <c r="Z48" s="215">
        <v>0</v>
      </c>
      <c r="AA48" s="220">
        <v>0</v>
      </c>
      <c r="AB48" s="214">
        <v>0.1</v>
      </c>
      <c r="AC48" s="215">
        <v>0</v>
      </c>
      <c r="AD48" s="215">
        <v>0</v>
      </c>
    </row>
    <row r="49" spans="1:30" ht="24.75" customHeight="1">
      <c r="A49" s="222" t="s">
        <v>287</v>
      </c>
      <c r="B49" s="223" t="s">
        <v>288</v>
      </c>
      <c r="C49" s="220">
        <v>0</v>
      </c>
      <c r="D49" s="214">
        <v>1.9</v>
      </c>
      <c r="E49" s="215">
        <v>0</v>
      </c>
      <c r="F49" s="215">
        <v>0</v>
      </c>
      <c r="G49" s="220">
        <v>0</v>
      </c>
      <c r="H49" s="214">
        <v>1.58</v>
      </c>
      <c r="I49" s="215">
        <v>0</v>
      </c>
      <c r="J49" s="215">
        <v>0</v>
      </c>
      <c r="K49" s="220">
        <v>0</v>
      </c>
      <c r="L49" s="214">
        <v>3.94</v>
      </c>
      <c r="M49" s="215">
        <v>0</v>
      </c>
      <c r="N49" s="215">
        <v>0</v>
      </c>
      <c r="O49" s="220">
        <v>0</v>
      </c>
      <c r="P49" s="214">
        <v>5</v>
      </c>
      <c r="Q49" s="215">
        <v>0</v>
      </c>
      <c r="R49" s="215">
        <v>0</v>
      </c>
      <c r="S49" s="220">
        <v>0</v>
      </c>
      <c r="T49" s="214">
        <v>1.2</v>
      </c>
      <c r="U49" s="215">
        <v>0</v>
      </c>
      <c r="V49" s="215">
        <v>0</v>
      </c>
      <c r="W49" s="220">
        <v>0</v>
      </c>
      <c r="X49" s="214">
        <v>6</v>
      </c>
      <c r="Y49" s="215">
        <v>0</v>
      </c>
      <c r="Z49" s="215">
        <v>0</v>
      </c>
      <c r="AA49" s="220">
        <v>0</v>
      </c>
      <c r="AB49" s="214">
        <v>0.1</v>
      </c>
      <c r="AC49" s="215">
        <v>0</v>
      </c>
      <c r="AD49" s="215">
        <v>0</v>
      </c>
    </row>
    <row r="50" spans="1:30" ht="24.75" customHeight="1">
      <c r="A50" s="222" t="s">
        <v>94</v>
      </c>
      <c r="B50" s="223" t="s">
        <v>289</v>
      </c>
      <c r="C50" s="220">
        <v>0</v>
      </c>
      <c r="D50" s="214">
        <v>1.68</v>
      </c>
      <c r="E50" s="215">
        <v>0</v>
      </c>
      <c r="F50" s="215">
        <v>0</v>
      </c>
      <c r="G50" s="220">
        <v>0</v>
      </c>
      <c r="H50" s="214">
        <v>1.24</v>
      </c>
      <c r="I50" s="215">
        <v>0</v>
      </c>
      <c r="J50" s="215">
        <v>0</v>
      </c>
      <c r="K50" s="220">
        <v>0</v>
      </c>
      <c r="L50" s="214">
        <v>4.18</v>
      </c>
      <c r="M50" s="215">
        <v>0</v>
      </c>
      <c r="N50" s="215">
        <v>0</v>
      </c>
      <c r="O50" s="220">
        <v>0</v>
      </c>
      <c r="P50" s="214">
        <v>10</v>
      </c>
      <c r="Q50" s="215">
        <v>0</v>
      </c>
      <c r="R50" s="215">
        <v>0</v>
      </c>
      <c r="S50" s="220">
        <v>0</v>
      </c>
      <c r="T50" s="214">
        <v>1.2</v>
      </c>
      <c r="U50" s="215">
        <v>0</v>
      </c>
      <c r="V50" s="215">
        <v>0</v>
      </c>
      <c r="W50" s="220">
        <v>0</v>
      </c>
      <c r="X50" s="214">
        <v>6</v>
      </c>
      <c r="Y50" s="215">
        <v>0</v>
      </c>
      <c r="Z50" s="215">
        <v>0</v>
      </c>
      <c r="AA50" s="220">
        <v>0</v>
      </c>
      <c r="AB50" s="214">
        <v>0.1</v>
      </c>
      <c r="AC50" s="215">
        <v>0</v>
      </c>
      <c r="AD50" s="215">
        <v>0</v>
      </c>
    </row>
    <row r="51" spans="1:30" ht="24.75" customHeight="1">
      <c r="A51" s="147" t="s">
        <v>83</v>
      </c>
      <c r="B51" s="213" t="s">
        <v>290</v>
      </c>
      <c r="C51" s="220">
        <v>0</v>
      </c>
      <c r="D51" s="214">
        <v>13.74</v>
      </c>
      <c r="E51" s="215">
        <v>0</v>
      </c>
      <c r="F51" s="215">
        <v>0</v>
      </c>
      <c r="G51" s="220">
        <v>0</v>
      </c>
      <c r="H51" s="214">
        <v>76.1</v>
      </c>
      <c r="I51" s="215">
        <v>0</v>
      </c>
      <c r="J51" s="215">
        <v>0</v>
      </c>
      <c r="K51" s="220">
        <v>0</v>
      </c>
      <c r="L51" s="214">
        <v>75</v>
      </c>
      <c r="M51" s="215">
        <v>0</v>
      </c>
      <c r="N51" s="215">
        <v>0</v>
      </c>
      <c r="O51" s="220">
        <v>0</v>
      </c>
      <c r="P51" s="214">
        <v>41</v>
      </c>
      <c r="Q51" s="215">
        <v>0</v>
      </c>
      <c r="R51" s="215">
        <v>0</v>
      </c>
      <c r="S51" s="220">
        <v>0</v>
      </c>
      <c r="T51" s="214">
        <v>38.78</v>
      </c>
      <c r="U51" s="215">
        <v>0</v>
      </c>
      <c r="V51" s="215">
        <v>0</v>
      </c>
      <c r="W51" s="220">
        <v>0</v>
      </c>
      <c r="X51" s="214">
        <v>20</v>
      </c>
      <c r="Y51" s="215">
        <v>0</v>
      </c>
      <c r="Z51" s="215">
        <v>0</v>
      </c>
      <c r="AA51" s="220">
        <v>0</v>
      </c>
      <c r="AB51" s="214">
        <v>15.12</v>
      </c>
      <c r="AC51" s="215">
        <v>0</v>
      </c>
      <c r="AD51" s="215">
        <v>0</v>
      </c>
    </row>
    <row r="52" spans="1:30" ht="24.75" customHeight="1">
      <c r="A52" s="147" t="s">
        <v>84</v>
      </c>
      <c r="B52" s="213" t="s">
        <v>291</v>
      </c>
      <c r="C52" s="220">
        <v>0</v>
      </c>
      <c r="D52" s="214">
        <v>13.74</v>
      </c>
      <c r="E52" s="215">
        <v>0</v>
      </c>
      <c r="F52" s="215">
        <v>0</v>
      </c>
      <c r="G52" s="220">
        <v>0</v>
      </c>
      <c r="H52" s="214">
        <v>19.99</v>
      </c>
      <c r="I52" s="215">
        <v>0</v>
      </c>
      <c r="J52" s="215">
        <v>0</v>
      </c>
      <c r="K52" s="220">
        <v>0</v>
      </c>
      <c r="L52" s="214">
        <v>40</v>
      </c>
      <c r="M52" s="215">
        <v>0</v>
      </c>
      <c r="N52" s="215">
        <v>0</v>
      </c>
      <c r="O52" s="220">
        <v>0</v>
      </c>
      <c r="P52" s="214">
        <v>20</v>
      </c>
      <c r="Q52" s="215">
        <v>0</v>
      </c>
      <c r="R52" s="215">
        <v>0</v>
      </c>
      <c r="S52" s="220">
        <v>0</v>
      </c>
      <c r="T52" s="214">
        <v>53.93</v>
      </c>
      <c r="U52" s="215">
        <v>0</v>
      </c>
      <c r="V52" s="215">
        <v>0</v>
      </c>
      <c r="W52" s="220">
        <v>0</v>
      </c>
      <c r="X52" s="214">
        <v>5</v>
      </c>
      <c r="Y52" s="215">
        <v>0</v>
      </c>
      <c r="Z52" s="215">
        <v>0</v>
      </c>
      <c r="AA52" s="220">
        <v>0</v>
      </c>
      <c r="AB52" s="214">
        <v>5</v>
      </c>
      <c r="AC52" s="215">
        <v>0</v>
      </c>
      <c r="AD52" s="215">
        <v>0</v>
      </c>
    </row>
    <row r="53" spans="1:30" ht="24.75" customHeight="1">
      <c r="A53" s="224" t="s">
        <v>85</v>
      </c>
      <c r="B53" s="213" t="s">
        <v>292</v>
      </c>
      <c r="C53" s="220">
        <v>0</v>
      </c>
      <c r="D53" s="214">
        <v>68.7</v>
      </c>
      <c r="E53" s="215">
        <v>0</v>
      </c>
      <c r="F53" s="215">
        <v>0</v>
      </c>
      <c r="G53" s="220">
        <v>0</v>
      </c>
      <c r="H53" s="214">
        <v>350.59</v>
      </c>
      <c r="I53" s="215">
        <v>0</v>
      </c>
      <c r="J53" s="215">
        <v>0</v>
      </c>
      <c r="K53" s="220">
        <v>0</v>
      </c>
      <c r="L53" s="214">
        <v>120</v>
      </c>
      <c r="M53" s="215">
        <v>0</v>
      </c>
      <c r="N53" s="215">
        <v>0</v>
      </c>
      <c r="O53" s="220">
        <v>0</v>
      </c>
      <c r="P53" s="214">
        <v>130</v>
      </c>
      <c r="Q53" s="215">
        <v>0</v>
      </c>
      <c r="R53" s="215">
        <v>0</v>
      </c>
      <c r="S53" s="220">
        <v>0</v>
      </c>
      <c r="T53" s="214">
        <v>104.72</v>
      </c>
      <c r="U53" s="215">
        <v>0</v>
      </c>
      <c r="V53" s="215">
        <v>0</v>
      </c>
      <c r="W53" s="220">
        <v>0</v>
      </c>
      <c r="X53" s="214">
        <v>60</v>
      </c>
      <c r="Y53" s="215">
        <v>0</v>
      </c>
      <c r="Z53" s="215">
        <v>0</v>
      </c>
      <c r="AA53" s="220">
        <v>0</v>
      </c>
      <c r="AB53" s="214">
        <v>185.79</v>
      </c>
      <c r="AC53" s="215">
        <v>0</v>
      </c>
      <c r="AD53" s="215">
        <v>0</v>
      </c>
    </row>
    <row r="54" spans="1:30" ht="24.75" customHeight="1">
      <c r="A54" s="224" t="s">
        <v>86</v>
      </c>
      <c r="B54" s="213" t="s">
        <v>293</v>
      </c>
      <c r="C54" s="220">
        <v>0</v>
      </c>
      <c r="D54" s="214">
        <v>68.7</v>
      </c>
      <c r="E54" s="215">
        <v>0</v>
      </c>
      <c r="F54" s="215">
        <v>0</v>
      </c>
      <c r="G54" s="220">
        <v>0</v>
      </c>
      <c r="H54" s="214">
        <v>350.59</v>
      </c>
      <c r="I54" s="215">
        <v>0</v>
      </c>
      <c r="J54" s="215">
        <v>0</v>
      </c>
      <c r="K54" s="220">
        <v>0</v>
      </c>
      <c r="L54" s="214">
        <v>140</v>
      </c>
      <c r="M54" s="215">
        <v>0</v>
      </c>
      <c r="N54" s="215">
        <v>0</v>
      </c>
      <c r="O54" s="220">
        <v>0</v>
      </c>
      <c r="P54" s="214">
        <v>150</v>
      </c>
      <c r="Q54" s="215">
        <v>0</v>
      </c>
      <c r="R54" s="215">
        <v>0</v>
      </c>
      <c r="S54" s="220">
        <v>0</v>
      </c>
      <c r="T54" s="214">
        <v>333.85</v>
      </c>
      <c r="U54" s="215">
        <v>0</v>
      </c>
      <c r="V54" s="215">
        <v>0</v>
      </c>
      <c r="W54" s="220">
        <v>0</v>
      </c>
      <c r="X54" s="214">
        <v>87</v>
      </c>
      <c r="Y54" s="215">
        <v>0</v>
      </c>
      <c r="Z54" s="215">
        <v>0</v>
      </c>
      <c r="AA54" s="220">
        <v>0</v>
      </c>
      <c r="AB54" s="214">
        <v>185.79</v>
      </c>
      <c r="AC54" s="215">
        <v>0</v>
      </c>
      <c r="AD54" s="215">
        <v>0</v>
      </c>
    </row>
    <row r="55" spans="1:30" ht="24.75" customHeight="1">
      <c r="A55" s="224" t="s">
        <v>294</v>
      </c>
      <c r="B55" s="225" t="s">
        <v>295</v>
      </c>
      <c r="C55" s="214">
        <v>5</v>
      </c>
      <c r="D55" s="214">
        <v>0.19</v>
      </c>
      <c r="E55" s="215">
        <v>0</v>
      </c>
      <c r="F55" s="215">
        <v>0</v>
      </c>
      <c r="G55" s="214">
        <v>1.96</v>
      </c>
      <c r="H55" s="214">
        <v>0.17</v>
      </c>
      <c r="I55" s="215">
        <v>0</v>
      </c>
      <c r="J55" s="215">
        <v>0</v>
      </c>
      <c r="K55" s="214">
        <v>0.5</v>
      </c>
      <c r="L55" s="214">
        <v>0.25</v>
      </c>
      <c r="M55" s="215">
        <v>0</v>
      </c>
      <c r="N55" s="215">
        <v>0</v>
      </c>
      <c r="O55" s="214">
        <v>0.16</v>
      </c>
      <c r="P55" s="214">
        <v>0.28</v>
      </c>
      <c r="Q55" s="215">
        <v>0</v>
      </c>
      <c r="R55" s="215">
        <v>0</v>
      </c>
      <c r="S55" s="214">
        <v>1.02</v>
      </c>
      <c r="T55" s="214">
        <v>0.31</v>
      </c>
      <c r="U55" s="215">
        <v>0</v>
      </c>
      <c r="V55" s="215">
        <v>0</v>
      </c>
      <c r="W55" s="214">
        <v>0.5</v>
      </c>
      <c r="X55" s="214">
        <v>0.25</v>
      </c>
      <c r="Y55" s="215">
        <v>0</v>
      </c>
      <c r="Z55" s="215">
        <v>0</v>
      </c>
      <c r="AA55" s="214">
        <v>5</v>
      </c>
      <c r="AB55" s="214">
        <v>0.22</v>
      </c>
      <c r="AC55" s="215">
        <v>0</v>
      </c>
      <c r="AD55" s="215">
        <v>0</v>
      </c>
    </row>
    <row r="56" spans="1:30" ht="24.75" customHeight="1">
      <c r="A56" s="218" t="s">
        <v>101</v>
      </c>
      <c r="B56" s="226" t="s">
        <v>296</v>
      </c>
      <c r="C56" s="214">
        <v>1921.7180804082568</v>
      </c>
      <c r="D56" s="214">
        <v>234.98</v>
      </c>
      <c r="E56" s="215">
        <v>0</v>
      </c>
      <c r="F56" s="215">
        <v>0</v>
      </c>
      <c r="G56" s="214">
        <v>1437.31</v>
      </c>
      <c r="H56" s="214">
        <v>170.49</v>
      </c>
      <c r="I56" s="215">
        <v>0</v>
      </c>
      <c r="J56" s="215">
        <v>0</v>
      </c>
      <c r="K56" s="214">
        <v>350</v>
      </c>
      <c r="L56" s="214">
        <v>149.83</v>
      </c>
      <c r="M56" s="215">
        <v>0</v>
      </c>
      <c r="N56" s="215">
        <v>0</v>
      </c>
      <c r="O56" s="214">
        <v>715</v>
      </c>
      <c r="P56" s="214">
        <v>130</v>
      </c>
      <c r="Q56" s="215">
        <v>0</v>
      </c>
      <c r="R56" s="215">
        <v>0</v>
      </c>
      <c r="S56" s="214">
        <v>63.32</v>
      </c>
      <c r="T56" s="214">
        <v>35.52</v>
      </c>
      <c r="U56" s="215">
        <v>0</v>
      </c>
      <c r="V56" s="215">
        <v>0</v>
      </c>
      <c r="W56" s="214">
        <v>244</v>
      </c>
      <c r="X56" s="214">
        <v>122</v>
      </c>
      <c r="Y56" s="215">
        <v>0</v>
      </c>
      <c r="Z56" s="215">
        <v>0</v>
      </c>
      <c r="AA56" s="214">
        <v>94.78</v>
      </c>
      <c r="AB56" s="214">
        <v>47.39</v>
      </c>
      <c r="AC56" s="215">
        <v>0</v>
      </c>
      <c r="AD56" s="215">
        <v>0</v>
      </c>
    </row>
    <row r="57" spans="1:30" ht="24.75" customHeight="1">
      <c r="A57" s="218" t="s">
        <v>102</v>
      </c>
      <c r="B57" s="226" t="s">
        <v>297</v>
      </c>
      <c r="C57" s="214">
        <v>1921.7457749011144</v>
      </c>
      <c r="D57" s="214">
        <v>256.53</v>
      </c>
      <c r="E57" s="215">
        <v>0</v>
      </c>
      <c r="F57" s="215">
        <v>0</v>
      </c>
      <c r="G57" s="214">
        <v>1596.35</v>
      </c>
      <c r="H57" s="214">
        <v>188.64</v>
      </c>
      <c r="I57" s="215">
        <v>0</v>
      </c>
      <c r="J57" s="215">
        <v>0</v>
      </c>
      <c r="K57" s="214">
        <v>400</v>
      </c>
      <c r="L57" s="214">
        <v>166.48</v>
      </c>
      <c r="M57" s="215">
        <v>0</v>
      </c>
      <c r="N57" s="215">
        <v>0</v>
      </c>
      <c r="O57" s="214">
        <v>747.5</v>
      </c>
      <c r="P57" s="214">
        <v>220</v>
      </c>
      <c r="Q57" s="215">
        <v>0</v>
      </c>
      <c r="R57" s="215">
        <v>0</v>
      </c>
      <c r="S57" s="214">
        <v>63.39</v>
      </c>
      <c r="T57" s="214">
        <v>35.52</v>
      </c>
      <c r="U57" s="215">
        <v>0</v>
      </c>
      <c r="V57" s="215">
        <v>0</v>
      </c>
      <c r="W57" s="214">
        <v>260</v>
      </c>
      <c r="X57" s="214">
        <v>130</v>
      </c>
      <c r="Y57" s="215">
        <v>0</v>
      </c>
      <c r="Z57" s="215">
        <v>0</v>
      </c>
      <c r="AA57" s="214">
        <v>94.79</v>
      </c>
      <c r="AB57" s="214">
        <v>47.39</v>
      </c>
      <c r="AC57" s="215">
        <v>0</v>
      </c>
      <c r="AD57" s="215">
        <v>0</v>
      </c>
    </row>
    <row r="58" spans="1:30" ht="24.75" customHeight="1">
      <c r="A58" s="218" t="s">
        <v>103</v>
      </c>
      <c r="B58" s="226" t="s">
        <v>298</v>
      </c>
      <c r="C58" s="214">
        <v>1921.7393648568502</v>
      </c>
      <c r="D58" s="214">
        <v>285.14</v>
      </c>
      <c r="E58" s="215">
        <v>0</v>
      </c>
      <c r="F58" s="215">
        <v>0</v>
      </c>
      <c r="G58" s="214">
        <v>2054.09</v>
      </c>
      <c r="H58" s="214">
        <v>221.49</v>
      </c>
      <c r="I58" s="215">
        <v>0</v>
      </c>
      <c r="J58" s="215">
        <v>0</v>
      </c>
      <c r="K58" s="214">
        <v>450</v>
      </c>
      <c r="L58" s="214">
        <v>179.43</v>
      </c>
      <c r="M58" s="215">
        <v>0</v>
      </c>
      <c r="N58" s="215">
        <v>0</v>
      </c>
      <c r="O58" s="214">
        <v>793</v>
      </c>
      <c r="P58" s="214">
        <v>250</v>
      </c>
      <c r="Q58" s="215">
        <v>0</v>
      </c>
      <c r="R58" s="215">
        <v>0</v>
      </c>
      <c r="S58" s="214">
        <v>67.27</v>
      </c>
      <c r="T58" s="214">
        <v>41.11</v>
      </c>
      <c r="U58" s="215">
        <v>0</v>
      </c>
      <c r="V58" s="215">
        <v>0</v>
      </c>
      <c r="W58" s="214">
        <v>280</v>
      </c>
      <c r="X58" s="214">
        <v>140</v>
      </c>
      <c r="Y58" s="215">
        <v>0</v>
      </c>
      <c r="Z58" s="215">
        <v>0</v>
      </c>
      <c r="AA58" s="214">
        <v>124.47</v>
      </c>
      <c r="AB58" s="214">
        <v>62.24</v>
      </c>
      <c r="AC58" s="215">
        <v>0</v>
      </c>
      <c r="AD58" s="215">
        <v>0</v>
      </c>
    </row>
    <row r="59" spans="1:30" ht="24.75" customHeight="1">
      <c r="A59" s="218" t="s">
        <v>104</v>
      </c>
      <c r="B59" s="226" t="s">
        <v>299</v>
      </c>
      <c r="C59" s="214">
        <v>3843.4672340791367</v>
      </c>
      <c r="D59" s="214">
        <v>357.65</v>
      </c>
      <c r="E59" s="215">
        <v>0</v>
      </c>
      <c r="F59" s="215">
        <v>0</v>
      </c>
      <c r="G59" s="214">
        <v>3761.32</v>
      </c>
      <c r="H59" s="214">
        <v>346.47</v>
      </c>
      <c r="I59" s="215">
        <v>0</v>
      </c>
      <c r="J59" s="215">
        <v>0</v>
      </c>
      <c r="K59" s="214">
        <v>1800</v>
      </c>
      <c r="L59" s="214">
        <v>300.4</v>
      </c>
      <c r="M59" s="215">
        <v>0</v>
      </c>
      <c r="N59" s="215">
        <v>0</v>
      </c>
      <c r="O59" s="214">
        <v>1053</v>
      </c>
      <c r="P59" s="214">
        <v>300</v>
      </c>
      <c r="Q59" s="215">
        <v>0</v>
      </c>
      <c r="R59" s="215">
        <v>0</v>
      </c>
      <c r="S59" s="214">
        <v>182.84</v>
      </c>
      <c r="T59" s="214">
        <v>150</v>
      </c>
      <c r="U59" s="215">
        <v>0</v>
      </c>
      <c r="V59" s="215">
        <v>0</v>
      </c>
      <c r="W59" s="214">
        <v>560</v>
      </c>
      <c r="X59" s="214">
        <v>280</v>
      </c>
      <c r="Y59" s="215">
        <v>0</v>
      </c>
      <c r="Z59" s="215">
        <v>0</v>
      </c>
      <c r="AA59" s="214">
        <v>452</v>
      </c>
      <c r="AB59" s="214">
        <v>226</v>
      </c>
      <c r="AC59" s="215">
        <v>0</v>
      </c>
      <c r="AD59" s="215">
        <v>0</v>
      </c>
    </row>
    <row r="60" spans="1:30" ht="24.75" customHeight="1">
      <c r="A60" s="218" t="s">
        <v>105</v>
      </c>
      <c r="B60" s="226" t="s">
        <v>300</v>
      </c>
      <c r="C60" s="214">
        <v>3843.530824969969</v>
      </c>
      <c r="D60" s="214">
        <v>396.76</v>
      </c>
      <c r="E60" s="215">
        <v>0</v>
      </c>
      <c r="F60" s="215">
        <v>0</v>
      </c>
      <c r="G60" s="214">
        <v>5850.77</v>
      </c>
      <c r="H60" s="214">
        <v>523.24</v>
      </c>
      <c r="I60" s="215">
        <v>0</v>
      </c>
      <c r="J60" s="215">
        <v>0</v>
      </c>
      <c r="K60" s="214">
        <v>2000</v>
      </c>
      <c r="L60" s="214">
        <v>338.81</v>
      </c>
      <c r="M60" s="215">
        <v>0</v>
      </c>
      <c r="N60" s="215">
        <v>0</v>
      </c>
      <c r="O60" s="214">
        <v>1833</v>
      </c>
      <c r="P60" s="214">
        <v>500</v>
      </c>
      <c r="Q60" s="215">
        <v>0</v>
      </c>
      <c r="R60" s="215">
        <v>0</v>
      </c>
      <c r="S60" s="214">
        <v>219.19</v>
      </c>
      <c r="T60" s="214">
        <v>174.56</v>
      </c>
      <c r="U60" s="215">
        <v>0</v>
      </c>
      <c r="V60" s="215">
        <v>0</v>
      </c>
      <c r="W60" s="214">
        <v>640</v>
      </c>
      <c r="X60" s="214">
        <v>320</v>
      </c>
      <c r="Y60" s="215">
        <v>0</v>
      </c>
      <c r="Z60" s="215">
        <v>0</v>
      </c>
      <c r="AA60" s="214">
        <v>529.84</v>
      </c>
      <c r="AB60" s="214">
        <v>264.92</v>
      </c>
      <c r="AC60" s="215">
        <v>0</v>
      </c>
      <c r="AD60" s="215">
        <v>0</v>
      </c>
    </row>
    <row r="61" spans="1:30" ht="24.75" customHeight="1">
      <c r="A61" s="218" t="s">
        <v>106</v>
      </c>
      <c r="B61" s="226" t="s">
        <v>301</v>
      </c>
      <c r="C61" s="214">
        <v>23061.040134210863</v>
      </c>
      <c r="D61" s="214">
        <v>714.8</v>
      </c>
      <c r="E61" s="215">
        <v>0</v>
      </c>
      <c r="F61" s="215">
        <v>0</v>
      </c>
      <c r="G61" s="214">
        <v>17781.85</v>
      </c>
      <c r="H61" s="214">
        <v>1309.04</v>
      </c>
      <c r="I61" s="215">
        <v>0</v>
      </c>
      <c r="J61" s="215">
        <v>0</v>
      </c>
      <c r="K61" s="214">
        <v>15000</v>
      </c>
      <c r="L61" s="214">
        <v>1447.57</v>
      </c>
      <c r="M61" s="215">
        <v>0</v>
      </c>
      <c r="N61" s="215">
        <v>0</v>
      </c>
      <c r="O61" s="214">
        <v>6500</v>
      </c>
      <c r="P61" s="214">
        <v>1000</v>
      </c>
      <c r="Q61" s="215">
        <v>0</v>
      </c>
      <c r="R61" s="215">
        <v>0</v>
      </c>
      <c r="S61" s="214">
        <v>1396.35</v>
      </c>
      <c r="T61" s="214">
        <v>1078.98</v>
      </c>
      <c r="U61" s="215">
        <v>0</v>
      </c>
      <c r="V61" s="215">
        <v>0</v>
      </c>
      <c r="W61" s="214">
        <v>2980</v>
      </c>
      <c r="X61" s="214">
        <v>1490</v>
      </c>
      <c r="Y61" s="215">
        <v>0</v>
      </c>
      <c r="Z61" s="215">
        <v>0</v>
      </c>
      <c r="AA61" s="214">
        <v>3118.72</v>
      </c>
      <c r="AB61" s="214">
        <v>1559.36</v>
      </c>
      <c r="AC61" s="215">
        <v>0</v>
      </c>
      <c r="AD61" s="215">
        <v>0</v>
      </c>
    </row>
    <row r="62" spans="1:30" ht="24.75" customHeight="1">
      <c r="A62" s="147" t="s">
        <v>302</v>
      </c>
      <c r="B62" s="213" t="s">
        <v>303</v>
      </c>
      <c r="C62" s="214">
        <v>338.52</v>
      </c>
      <c r="D62" s="214">
        <v>169.26</v>
      </c>
      <c r="E62" s="215">
        <v>0</v>
      </c>
      <c r="F62" s="215">
        <v>0</v>
      </c>
      <c r="G62" s="214">
        <v>125.94</v>
      </c>
      <c r="H62" s="214">
        <v>62.97</v>
      </c>
      <c r="I62" s="215">
        <v>0</v>
      </c>
      <c r="J62" s="215">
        <v>0</v>
      </c>
      <c r="K62" s="214">
        <v>142.9</v>
      </c>
      <c r="L62" s="214">
        <v>71.45</v>
      </c>
      <c r="M62" s="215">
        <v>0</v>
      </c>
      <c r="N62" s="215">
        <v>0</v>
      </c>
      <c r="O62" s="214">
        <v>50</v>
      </c>
      <c r="P62" s="214">
        <v>25</v>
      </c>
      <c r="Q62" s="215">
        <v>0</v>
      </c>
      <c r="R62" s="215">
        <v>0</v>
      </c>
      <c r="S62" s="214">
        <v>89.87</v>
      </c>
      <c r="T62" s="214">
        <v>48.19</v>
      </c>
      <c r="U62" s="215">
        <v>0</v>
      </c>
      <c r="V62" s="215">
        <v>0</v>
      </c>
      <c r="W62" s="214">
        <v>220</v>
      </c>
      <c r="X62" s="214">
        <v>110</v>
      </c>
      <c r="Y62" s="215">
        <v>0</v>
      </c>
      <c r="Z62" s="215">
        <v>0</v>
      </c>
      <c r="AA62" s="214">
        <v>57.59</v>
      </c>
      <c r="AB62" s="214">
        <v>28.8</v>
      </c>
      <c r="AC62" s="215">
        <v>0</v>
      </c>
      <c r="AD62" s="215">
        <v>0</v>
      </c>
    </row>
    <row r="63" spans="1:30" ht="24.75" customHeight="1">
      <c r="A63" s="147" t="s">
        <v>304</v>
      </c>
      <c r="B63" s="213" t="s">
        <v>305</v>
      </c>
      <c r="C63" s="214">
        <v>338.52</v>
      </c>
      <c r="D63" s="214">
        <v>169.26</v>
      </c>
      <c r="E63" s="215">
        <v>0</v>
      </c>
      <c r="F63" s="215">
        <v>0</v>
      </c>
      <c r="G63" s="214">
        <v>125.94</v>
      </c>
      <c r="H63" s="214">
        <v>62.97</v>
      </c>
      <c r="I63" s="215">
        <v>0</v>
      </c>
      <c r="J63" s="215">
        <v>0</v>
      </c>
      <c r="K63" s="214">
        <v>142.9</v>
      </c>
      <c r="L63" s="214">
        <v>71.45</v>
      </c>
      <c r="M63" s="215">
        <v>0</v>
      </c>
      <c r="N63" s="215">
        <v>0</v>
      </c>
      <c r="O63" s="214">
        <v>52</v>
      </c>
      <c r="P63" s="214">
        <v>26</v>
      </c>
      <c r="Q63" s="215">
        <v>0</v>
      </c>
      <c r="R63" s="215">
        <v>0</v>
      </c>
      <c r="S63" s="214">
        <v>89.95</v>
      </c>
      <c r="T63" s="214">
        <v>48.19</v>
      </c>
      <c r="U63" s="215">
        <v>0</v>
      </c>
      <c r="V63" s="215">
        <v>0</v>
      </c>
      <c r="W63" s="214">
        <v>224</v>
      </c>
      <c r="X63" s="214">
        <v>112</v>
      </c>
      <c r="Y63" s="215">
        <v>0</v>
      </c>
      <c r="Z63" s="215">
        <v>0</v>
      </c>
      <c r="AA63" s="214">
        <v>57.59</v>
      </c>
      <c r="AB63" s="214">
        <v>28.8</v>
      </c>
      <c r="AC63" s="215">
        <v>0</v>
      </c>
      <c r="AD63" s="215">
        <v>0</v>
      </c>
    </row>
    <row r="64" spans="1:30" ht="24.75" customHeight="1">
      <c r="A64" s="147" t="s">
        <v>306</v>
      </c>
      <c r="B64" s="213" t="s">
        <v>307</v>
      </c>
      <c r="C64" s="214">
        <v>338.52</v>
      </c>
      <c r="D64" s="214">
        <v>169.26</v>
      </c>
      <c r="E64" s="215">
        <v>0</v>
      </c>
      <c r="F64" s="215">
        <v>0</v>
      </c>
      <c r="G64" s="214">
        <v>133.16</v>
      </c>
      <c r="H64" s="214">
        <v>66.58</v>
      </c>
      <c r="I64" s="215">
        <v>0</v>
      </c>
      <c r="J64" s="215">
        <v>0</v>
      </c>
      <c r="K64" s="214">
        <v>142.9</v>
      </c>
      <c r="L64" s="214">
        <v>71.45</v>
      </c>
      <c r="M64" s="215">
        <v>0</v>
      </c>
      <c r="N64" s="215">
        <v>0</v>
      </c>
      <c r="O64" s="214">
        <v>54</v>
      </c>
      <c r="P64" s="214">
        <v>27</v>
      </c>
      <c r="Q64" s="215">
        <v>0</v>
      </c>
      <c r="R64" s="215">
        <v>0</v>
      </c>
      <c r="S64" s="214">
        <v>154.97</v>
      </c>
      <c r="T64" s="214">
        <v>79.8</v>
      </c>
      <c r="U64" s="215">
        <v>0</v>
      </c>
      <c r="V64" s="215">
        <v>0</v>
      </c>
      <c r="W64" s="214">
        <v>228</v>
      </c>
      <c r="X64" s="214">
        <v>114</v>
      </c>
      <c r="Y64" s="215">
        <v>0</v>
      </c>
      <c r="Z64" s="215">
        <v>0</v>
      </c>
      <c r="AA64" s="214">
        <v>57.59</v>
      </c>
      <c r="AB64" s="214">
        <v>28.8</v>
      </c>
      <c r="AC64" s="215">
        <v>0</v>
      </c>
      <c r="AD64" s="215">
        <v>0</v>
      </c>
    </row>
    <row r="65" spans="1:30" ht="24.75" customHeight="1">
      <c r="A65" s="147" t="s">
        <v>308</v>
      </c>
      <c r="B65" s="213" t="s">
        <v>309</v>
      </c>
      <c r="C65" s="214">
        <v>338.52</v>
      </c>
      <c r="D65" s="214">
        <v>169.26</v>
      </c>
      <c r="E65" s="215">
        <v>0</v>
      </c>
      <c r="F65" s="215">
        <v>0</v>
      </c>
      <c r="G65" s="214">
        <v>133.16</v>
      </c>
      <c r="H65" s="214">
        <v>66.58</v>
      </c>
      <c r="I65" s="215">
        <v>0</v>
      </c>
      <c r="J65" s="215">
        <v>0</v>
      </c>
      <c r="K65" s="214">
        <v>151.82</v>
      </c>
      <c r="L65" s="214">
        <v>75.91</v>
      </c>
      <c r="M65" s="215">
        <v>0</v>
      </c>
      <c r="N65" s="215">
        <v>0</v>
      </c>
      <c r="O65" s="214">
        <v>56</v>
      </c>
      <c r="P65" s="214">
        <v>28</v>
      </c>
      <c r="Q65" s="215">
        <v>0</v>
      </c>
      <c r="R65" s="215">
        <v>0</v>
      </c>
      <c r="S65" s="214">
        <v>204.67</v>
      </c>
      <c r="T65" s="214">
        <v>103.98</v>
      </c>
      <c r="U65" s="215">
        <v>0</v>
      </c>
      <c r="V65" s="215">
        <v>0</v>
      </c>
      <c r="W65" s="214">
        <v>232</v>
      </c>
      <c r="X65" s="214">
        <v>116</v>
      </c>
      <c r="Y65" s="215">
        <v>0</v>
      </c>
      <c r="Z65" s="215">
        <v>0</v>
      </c>
      <c r="AA65" s="214">
        <v>57.59</v>
      </c>
      <c r="AB65" s="214">
        <v>28.8</v>
      </c>
      <c r="AC65" s="215">
        <v>0</v>
      </c>
      <c r="AD65" s="215">
        <v>0</v>
      </c>
    </row>
    <row r="66" spans="1:30" ht="24.75" customHeight="1">
      <c r="A66" s="147" t="s">
        <v>310</v>
      </c>
      <c r="B66" s="213" t="s">
        <v>311</v>
      </c>
      <c r="C66" s="214">
        <v>338.52</v>
      </c>
      <c r="D66" s="214">
        <v>169.26</v>
      </c>
      <c r="E66" s="215">
        <v>0</v>
      </c>
      <c r="F66" s="215">
        <v>0</v>
      </c>
      <c r="G66" s="214">
        <v>143.61</v>
      </c>
      <c r="H66" s="214">
        <v>71.81</v>
      </c>
      <c r="I66" s="215">
        <v>0</v>
      </c>
      <c r="J66" s="215">
        <v>0</v>
      </c>
      <c r="K66" s="214">
        <v>151.82</v>
      </c>
      <c r="L66" s="214">
        <v>75.91</v>
      </c>
      <c r="M66" s="215">
        <v>0</v>
      </c>
      <c r="N66" s="215">
        <v>0</v>
      </c>
      <c r="O66" s="214">
        <v>58</v>
      </c>
      <c r="P66" s="214">
        <v>29</v>
      </c>
      <c r="Q66" s="215">
        <v>0</v>
      </c>
      <c r="R66" s="215">
        <v>0</v>
      </c>
      <c r="S66" s="214">
        <v>246.33</v>
      </c>
      <c r="T66" s="214">
        <v>125.53</v>
      </c>
      <c r="U66" s="215">
        <v>0</v>
      </c>
      <c r="V66" s="215">
        <v>0</v>
      </c>
      <c r="W66" s="214">
        <v>236</v>
      </c>
      <c r="X66" s="214">
        <v>118</v>
      </c>
      <c r="Y66" s="215">
        <v>0</v>
      </c>
      <c r="Z66" s="215">
        <v>0</v>
      </c>
      <c r="AA66" s="214">
        <v>57.59</v>
      </c>
      <c r="AB66" s="214">
        <v>28.8</v>
      </c>
      <c r="AC66" s="215">
        <v>0</v>
      </c>
      <c r="AD66" s="215">
        <v>0</v>
      </c>
    </row>
    <row r="67" spans="1:30" ht="24.75" customHeight="1">
      <c r="A67" s="147" t="s">
        <v>312</v>
      </c>
      <c r="B67" s="213" t="s">
        <v>313</v>
      </c>
      <c r="C67" s="214">
        <v>338.52</v>
      </c>
      <c r="D67" s="214">
        <v>169.26</v>
      </c>
      <c r="E67" s="215">
        <v>0</v>
      </c>
      <c r="F67" s="215">
        <v>0</v>
      </c>
      <c r="G67" s="214">
        <v>143.61</v>
      </c>
      <c r="H67" s="214">
        <v>71.81</v>
      </c>
      <c r="I67" s="215">
        <v>0</v>
      </c>
      <c r="J67" s="215">
        <v>0</v>
      </c>
      <c r="K67" s="214">
        <v>151.82</v>
      </c>
      <c r="L67" s="214">
        <v>75.91</v>
      </c>
      <c r="M67" s="215">
        <v>0</v>
      </c>
      <c r="N67" s="215">
        <v>0</v>
      </c>
      <c r="O67" s="214">
        <v>60</v>
      </c>
      <c r="P67" s="214">
        <v>30</v>
      </c>
      <c r="Q67" s="215">
        <v>0</v>
      </c>
      <c r="R67" s="215">
        <v>0</v>
      </c>
      <c r="S67" s="214">
        <v>254.9</v>
      </c>
      <c r="T67" s="214">
        <v>129.66</v>
      </c>
      <c r="U67" s="215">
        <v>0</v>
      </c>
      <c r="V67" s="215">
        <v>0</v>
      </c>
      <c r="W67" s="214">
        <v>238</v>
      </c>
      <c r="X67" s="214">
        <v>119</v>
      </c>
      <c r="Y67" s="215">
        <v>0</v>
      </c>
      <c r="Z67" s="215">
        <v>0</v>
      </c>
      <c r="AA67" s="214">
        <v>57.59</v>
      </c>
      <c r="AB67" s="214">
        <v>28.8</v>
      </c>
      <c r="AC67" s="215">
        <v>0</v>
      </c>
      <c r="AD67" s="215">
        <v>0</v>
      </c>
    </row>
    <row r="68" spans="1:30" ht="24.75" customHeight="1">
      <c r="A68" s="147" t="s">
        <v>314</v>
      </c>
      <c r="B68" s="213" t="s">
        <v>315</v>
      </c>
      <c r="C68" s="214">
        <v>338.52</v>
      </c>
      <c r="D68" s="214">
        <v>169.26</v>
      </c>
      <c r="E68" s="215">
        <v>0</v>
      </c>
      <c r="F68" s="215">
        <v>0</v>
      </c>
      <c r="G68" s="214">
        <v>157.3</v>
      </c>
      <c r="H68" s="214">
        <v>78.65</v>
      </c>
      <c r="I68" s="215">
        <v>0</v>
      </c>
      <c r="J68" s="215">
        <v>0</v>
      </c>
      <c r="K68" s="214">
        <v>151.82</v>
      </c>
      <c r="L68" s="214">
        <v>75.91</v>
      </c>
      <c r="M68" s="215">
        <v>0</v>
      </c>
      <c r="N68" s="215">
        <v>0</v>
      </c>
      <c r="O68" s="214">
        <v>76</v>
      </c>
      <c r="P68" s="214">
        <v>38</v>
      </c>
      <c r="Q68" s="215">
        <v>0</v>
      </c>
      <c r="R68" s="215">
        <v>0</v>
      </c>
      <c r="S68" s="214">
        <v>263.27</v>
      </c>
      <c r="T68" s="214">
        <v>133.79</v>
      </c>
      <c r="U68" s="215">
        <v>0</v>
      </c>
      <c r="V68" s="215">
        <v>0</v>
      </c>
      <c r="W68" s="214">
        <v>240</v>
      </c>
      <c r="X68" s="214">
        <v>120</v>
      </c>
      <c r="Y68" s="215">
        <v>0</v>
      </c>
      <c r="Z68" s="215">
        <v>0</v>
      </c>
      <c r="AA68" s="214">
        <v>57.59</v>
      </c>
      <c r="AB68" s="214">
        <v>28.8</v>
      </c>
      <c r="AC68" s="215">
        <v>0</v>
      </c>
      <c r="AD68" s="215">
        <v>0</v>
      </c>
    </row>
    <row r="69" spans="1:30" ht="24.75" customHeight="1">
      <c r="A69" s="147" t="s">
        <v>316</v>
      </c>
      <c r="B69" s="213" t="s">
        <v>317</v>
      </c>
      <c r="C69" s="214">
        <v>338.52</v>
      </c>
      <c r="D69" s="214">
        <v>169.26</v>
      </c>
      <c r="E69" s="215">
        <v>0</v>
      </c>
      <c r="F69" s="215">
        <v>0</v>
      </c>
      <c r="G69" s="214">
        <v>157.3</v>
      </c>
      <c r="H69" s="214">
        <v>78.65</v>
      </c>
      <c r="I69" s="215">
        <v>0</v>
      </c>
      <c r="J69" s="215">
        <v>0</v>
      </c>
      <c r="K69" s="214">
        <v>161.94</v>
      </c>
      <c r="L69" s="214">
        <v>80.97</v>
      </c>
      <c r="M69" s="215">
        <v>0</v>
      </c>
      <c r="N69" s="215">
        <v>0</v>
      </c>
      <c r="O69" s="214">
        <v>78</v>
      </c>
      <c r="P69" s="214">
        <v>39</v>
      </c>
      <c r="Q69" s="215">
        <v>0</v>
      </c>
      <c r="R69" s="215">
        <v>0</v>
      </c>
      <c r="S69" s="214">
        <v>288.8</v>
      </c>
      <c r="T69" s="214">
        <v>146.31</v>
      </c>
      <c r="U69" s="215">
        <v>0</v>
      </c>
      <c r="V69" s="215">
        <v>0</v>
      </c>
      <c r="W69" s="214">
        <v>244</v>
      </c>
      <c r="X69" s="214">
        <v>122</v>
      </c>
      <c r="Y69" s="215">
        <v>0</v>
      </c>
      <c r="Z69" s="215">
        <v>0</v>
      </c>
      <c r="AA69" s="214">
        <v>57.59</v>
      </c>
      <c r="AB69" s="214">
        <v>28.8</v>
      </c>
      <c r="AC69" s="215">
        <v>0</v>
      </c>
      <c r="AD69" s="215">
        <v>0</v>
      </c>
    </row>
    <row r="70" spans="1:30" ht="24.75" customHeight="1">
      <c r="A70" s="147" t="s">
        <v>318</v>
      </c>
      <c r="B70" s="213" t="s">
        <v>319</v>
      </c>
      <c r="C70" s="214">
        <v>338.52</v>
      </c>
      <c r="D70" s="214">
        <v>169.26</v>
      </c>
      <c r="E70" s="215">
        <v>0</v>
      </c>
      <c r="F70" s="215">
        <v>0</v>
      </c>
      <c r="G70" s="214">
        <v>157.3</v>
      </c>
      <c r="H70" s="214">
        <v>78.65</v>
      </c>
      <c r="I70" s="215">
        <v>0</v>
      </c>
      <c r="J70" s="215">
        <v>0</v>
      </c>
      <c r="K70" s="214">
        <v>161.94</v>
      </c>
      <c r="L70" s="214">
        <v>80.97</v>
      </c>
      <c r="M70" s="215">
        <v>0</v>
      </c>
      <c r="N70" s="215">
        <v>0</v>
      </c>
      <c r="O70" s="214">
        <v>80</v>
      </c>
      <c r="P70" s="214">
        <v>80</v>
      </c>
      <c r="Q70" s="215">
        <v>0</v>
      </c>
      <c r="R70" s="215">
        <v>0</v>
      </c>
      <c r="S70" s="214">
        <v>361.24</v>
      </c>
      <c r="T70" s="214">
        <v>183.79</v>
      </c>
      <c r="U70" s="215">
        <v>0</v>
      </c>
      <c r="V70" s="215">
        <v>0</v>
      </c>
      <c r="W70" s="214">
        <v>245</v>
      </c>
      <c r="X70" s="214">
        <v>122.5</v>
      </c>
      <c r="Y70" s="215">
        <v>0</v>
      </c>
      <c r="Z70" s="215">
        <v>0</v>
      </c>
      <c r="AA70" s="214">
        <v>57.59</v>
      </c>
      <c r="AB70" s="214">
        <v>28.8</v>
      </c>
      <c r="AC70" s="215">
        <v>0</v>
      </c>
      <c r="AD70" s="215">
        <v>0</v>
      </c>
    </row>
    <row r="71" spans="1:30" ht="24.75" customHeight="1">
      <c r="A71" s="147" t="s">
        <v>320</v>
      </c>
      <c r="B71" s="213" t="s">
        <v>321</v>
      </c>
      <c r="C71" s="214">
        <v>338.52</v>
      </c>
      <c r="D71" s="214">
        <v>169.26</v>
      </c>
      <c r="E71" s="215">
        <v>0</v>
      </c>
      <c r="F71" s="215">
        <v>0</v>
      </c>
      <c r="G71" s="214">
        <v>177.46</v>
      </c>
      <c r="H71" s="214">
        <v>88.73</v>
      </c>
      <c r="I71" s="215">
        <v>0</v>
      </c>
      <c r="J71" s="215">
        <v>0</v>
      </c>
      <c r="K71" s="214">
        <v>161.94</v>
      </c>
      <c r="L71" s="214">
        <v>80.97</v>
      </c>
      <c r="M71" s="215">
        <v>0</v>
      </c>
      <c r="N71" s="215">
        <v>0</v>
      </c>
      <c r="O71" s="214">
        <v>120</v>
      </c>
      <c r="P71" s="214">
        <v>100</v>
      </c>
      <c r="Q71" s="215">
        <v>0</v>
      </c>
      <c r="R71" s="215">
        <v>0</v>
      </c>
      <c r="S71" s="214">
        <v>878.44</v>
      </c>
      <c r="T71" s="214">
        <v>442.55</v>
      </c>
      <c r="U71" s="215">
        <v>0</v>
      </c>
      <c r="V71" s="215">
        <v>0</v>
      </c>
      <c r="W71" s="214">
        <v>246</v>
      </c>
      <c r="X71" s="214">
        <v>123</v>
      </c>
      <c r="Y71" s="215">
        <v>0</v>
      </c>
      <c r="Z71" s="215">
        <v>0</v>
      </c>
      <c r="AA71" s="214">
        <v>57.59</v>
      </c>
      <c r="AB71" s="214">
        <v>28.8</v>
      </c>
      <c r="AC71" s="215">
        <v>0</v>
      </c>
      <c r="AD71" s="215">
        <v>0</v>
      </c>
    </row>
    <row r="72" spans="1:30" ht="24.75" customHeight="1">
      <c r="A72" s="147" t="s">
        <v>322</v>
      </c>
      <c r="B72" s="213" t="s">
        <v>323</v>
      </c>
      <c r="C72" s="214">
        <v>338.52</v>
      </c>
      <c r="D72" s="214">
        <v>169.26</v>
      </c>
      <c r="E72" s="215">
        <v>0</v>
      </c>
      <c r="F72" s="215">
        <v>0</v>
      </c>
      <c r="G72" s="214">
        <v>143.61</v>
      </c>
      <c r="H72" s="214">
        <v>71.81</v>
      </c>
      <c r="I72" s="215">
        <v>0</v>
      </c>
      <c r="J72" s="215">
        <v>0</v>
      </c>
      <c r="K72" s="214">
        <v>328.64</v>
      </c>
      <c r="L72" s="214">
        <v>164.32</v>
      </c>
      <c r="M72" s="215">
        <v>0</v>
      </c>
      <c r="N72" s="215">
        <v>0</v>
      </c>
      <c r="O72" s="214">
        <v>60</v>
      </c>
      <c r="P72" s="214">
        <v>30</v>
      </c>
      <c r="Q72" s="215">
        <v>0</v>
      </c>
      <c r="R72" s="215">
        <v>0</v>
      </c>
      <c r="S72" s="214">
        <v>1141.45</v>
      </c>
      <c r="T72" s="214">
        <v>608.62</v>
      </c>
      <c r="U72" s="215">
        <v>0</v>
      </c>
      <c r="V72" s="215">
        <v>0</v>
      </c>
      <c r="W72" s="214">
        <v>247</v>
      </c>
      <c r="X72" s="214">
        <v>123.5</v>
      </c>
      <c r="Y72" s="215">
        <v>0</v>
      </c>
      <c r="Z72" s="215">
        <v>0</v>
      </c>
      <c r="AA72" s="214">
        <v>57.59</v>
      </c>
      <c r="AB72" s="214">
        <v>28.8</v>
      </c>
      <c r="AC72" s="215">
        <v>0</v>
      </c>
      <c r="AD72" s="215">
        <v>0</v>
      </c>
    </row>
    <row r="73" spans="1:30" ht="24.75" customHeight="1">
      <c r="A73" s="147" t="s">
        <v>324</v>
      </c>
      <c r="B73" s="213" t="s">
        <v>325</v>
      </c>
      <c r="C73" s="214">
        <v>338.52</v>
      </c>
      <c r="D73" s="214">
        <v>169.26</v>
      </c>
      <c r="E73" s="215">
        <v>0</v>
      </c>
      <c r="F73" s="215">
        <v>0</v>
      </c>
      <c r="G73" s="214">
        <v>149.74</v>
      </c>
      <c r="H73" s="214">
        <v>74.87</v>
      </c>
      <c r="I73" s="215">
        <v>0</v>
      </c>
      <c r="J73" s="215">
        <v>0</v>
      </c>
      <c r="K73" s="214">
        <v>328.64</v>
      </c>
      <c r="L73" s="214">
        <v>164.32</v>
      </c>
      <c r="M73" s="215">
        <v>0</v>
      </c>
      <c r="N73" s="215">
        <v>0</v>
      </c>
      <c r="O73" s="214">
        <v>76</v>
      </c>
      <c r="P73" s="214">
        <v>38</v>
      </c>
      <c r="Q73" s="215">
        <v>0</v>
      </c>
      <c r="R73" s="215">
        <v>0</v>
      </c>
      <c r="S73" s="214">
        <v>1187.63</v>
      </c>
      <c r="T73" s="214">
        <v>631.12</v>
      </c>
      <c r="U73" s="215">
        <v>0</v>
      </c>
      <c r="V73" s="215">
        <v>0</v>
      </c>
      <c r="W73" s="214">
        <v>248</v>
      </c>
      <c r="X73" s="214">
        <v>124</v>
      </c>
      <c r="Y73" s="215">
        <v>0</v>
      </c>
      <c r="Z73" s="215">
        <v>0</v>
      </c>
      <c r="AA73" s="214">
        <v>57.59</v>
      </c>
      <c r="AB73" s="214">
        <v>28.8</v>
      </c>
      <c r="AC73" s="215">
        <v>0</v>
      </c>
      <c r="AD73" s="215">
        <v>0</v>
      </c>
    </row>
    <row r="74" spans="1:30" ht="24.75" customHeight="1">
      <c r="A74" s="147" t="s">
        <v>326</v>
      </c>
      <c r="B74" s="213" t="s">
        <v>327</v>
      </c>
      <c r="C74" s="214">
        <v>338.52</v>
      </c>
      <c r="D74" s="214">
        <v>169.26</v>
      </c>
      <c r="E74" s="215">
        <v>0</v>
      </c>
      <c r="F74" s="215">
        <v>0</v>
      </c>
      <c r="G74" s="214">
        <v>157.3</v>
      </c>
      <c r="H74" s="214">
        <v>78.65</v>
      </c>
      <c r="I74" s="215">
        <v>0</v>
      </c>
      <c r="J74" s="215">
        <v>0</v>
      </c>
      <c r="K74" s="214">
        <v>328.64</v>
      </c>
      <c r="L74" s="214">
        <v>164.32</v>
      </c>
      <c r="M74" s="215">
        <v>0</v>
      </c>
      <c r="N74" s="215">
        <v>0</v>
      </c>
      <c r="O74" s="214">
        <v>88</v>
      </c>
      <c r="P74" s="214">
        <v>44</v>
      </c>
      <c r="Q74" s="215">
        <v>0</v>
      </c>
      <c r="R74" s="215">
        <v>0</v>
      </c>
      <c r="S74" s="214">
        <v>1279.82</v>
      </c>
      <c r="T74" s="214">
        <v>675.96</v>
      </c>
      <c r="U74" s="215">
        <v>0</v>
      </c>
      <c r="V74" s="215">
        <v>0</v>
      </c>
      <c r="W74" s="214">
        <v>250</v>
      </c>
      <c r="X74" s="214">
        <v>125</v>
      </c>
      <c r="Y74" s="215">
        <v>0</v>
      </c>
      <c r="Z74" s="215">
        <v>0</v>
      </c>
      <c r="AA74" s="214">
        <v>57.59</v>
      </c>
      <c r="AB74" s="214">
        <v>28.8</v>
      </c>
      <c r="AC74" s="215">
        <v>0</v>
      </c>
      <c r="AD74" s="215">
        <v>0</v>
      </c>
    </row>
    <row r="75" spans="1:30" ht="24.75" customHeight="1">
      <c r="A75" s="147" t="s">
        <v>328</v>
      </c>
      <c r="B75" s="213" t="s">
        <v>329</v>
      </c>
      <c r="C75" s="214">
        <v>338.52</v>
      </c>
      <c r="D75" s="214">
        <v>169.26</v>
      </c>
      <c r="E75" s="215">
        <v>0</v>
      </c>
      <c r="F75" s="215">
        <v>0</v>
      </c>
      <c r="G75" s="214">
        <v>184.68</v>
      </c>
      <c r="H75" s="214">
        <v>92.34</v>
      </c>
      <c r="I75" s="215">
        <v>0</v>
      </c>
      <c r="J75" s="215">
        <v>0</v>
      </c>
      <c r="K75" s="214">
        <v>328.64</v>
      </c>
      <c r="L75" s="214">
        <v>164.32</v>
      </c>
      <c r="M75" s="215">
        <v>0</v>
      </c>
      <c r="N75" s="215">
        <v>0</v>
      </c>
      <c r="O75" s="214">
        <v>180</v>
      </c>
      <c r="P75" s="214">
        <v>200</v>
      </c>
      <c r="Q75" s="215">
        <v>0</v>
      </c>
      <c r="R75" s="215">
        <v>0</v>
      </c>
      <c r="S75" s="214">
        <v>1556.71</v>
      </c>
      <c r="T75" s="214">
        <v>810.47</v>
      </c>
      <c r="U75" s="215">
        <v>0</v>
      </c>
      <c r="V75" s="215">
        <v>0</v>
      </c>
      <c r="W75" s="214">
        <v>251</v>
      </c>
      <c r="X75" s="214">
        <v>125.5</v>
      </c>
      <c r="Y75" s="215">
        <v>0</v>
      </c>
      <c r="Z75" s="215">
        <v>0</v>
      </c>
      <c r="AA75" s="214">
        <v>57.59</v>
      </c>
      <c r="AB75" s="214">
        <v>28.8</v>
      </c>
      <c r="AC75" s="215">
        <v>0</v>
      </c>
      <c r="AD75" s="215">
        <v>0</v>
      </c>
    </row>
    <row r="76" spans="1:30" ht="24.75" customHeight="1">
      <c r="A76" s="147" t="s">
        <v>330</v>
      </c>
      <c r="B76" s="213" t="s">
        <v>331</v>
      </c>
      <c r="C76" s="214">
        <v>338.52</v>
      </c>
      <c r="D76" s="214">
        <v>169.26</v>
      </c>
      <c r="E76" s="215">
        <v>0</v>
      </c>
      <c r="F76" s="215">
        <v>0</v>
      </c>
      <c r="G76" s="214">
        <v>224.98</v>
      </c>
      <c r="H76" s="214">
        <v>112.49</v>
      </c>
      <c r="I76" s="215">
        <v>0</v>
      </c>
      <c r="J76" s="215">
        <v>0</v>
      </c>
      <c r="K76" s="214">
        <v>328.64</v>
      </c>
      <c r="L76" s="214">
        <v>164.32</v>
      </c>
      <c r="M76" s="215">
        <v>0</v>
      </c>
      <c r="N76" s="215">
        <v>0</v>
      </c>
      <c r="O76" s="214">
        <v>240</v>
      </c>
      <c r="P76" s="214">
        <v>250</v>
      </c>
      <c r="Q76" s="215">
        <v>0</v>
      </c>
      <c r="R76" s="215">
        <v>0</v>
      </c>
      <c r="S76" s="214">
        <v>1757.4</v>
      </c>
      <c r="T76" s="214">
        <v>880.92</v>
      </c>
      <c r="U76" s="215">
        <v>0</v>
      </c>
      <c r="V76" s="215">
        <v>0</v>
      </c>
      <c r="W76" s="214">
        <v>252</v>
      </c>
      <c r="X76" s="214">
        <v>126</v>
      </c>
      <c r="Y76" s="215">
        <v>0</v>
      </c>
      <c r="Z76" s="215">
        <v>0</v>
      </c>
      <c r="AA76" s="214">
        <v>57.59</v>
      </c>
      <c r="AB76" s="214">
        <v>28.8</v>
      </c>
      <c r="AC76" s="215">
        <v>0</v>
      </c>
      <c r="AD76" s="215">
        <v>0</v>
      </c>
    </row>
    <row r="77" spans="1:30" ht="24.75" customHeight="1">
      <c r="A77" s="147" t="s">
        <v>332</v>
      </c>
      <c r="B77" s="213" t="s">
        <v>333</v>
      </c>
      <c r="C77" s="214">
        <v>338.52</v>
      </c>
      <c r="D77" s="214">
        <v>169.26</v>
      </c>
      <c r="E77" s="215">
        <v>0</v>
      </c>
      <c r="F77" s="215">
        <v>0</v>
      </c>
      <c r="G77" s="214">
        <v>287.92</v>
      </c>
      <c r="H77" s="214">
        <v>143.96</v>
      </c>
      <c r="I77" s="215">
        <v>0</v>
      </c>
      <c r="J77" s="215">
        <v>0</v>
      </c>
      <c r="K77" s="214">
        <v>328.64</v>
      </c>
      <c r="L77" s="214">
        <v>164.32</v>
      </c>
      <c r="M77" s="215">
        <v>0</v>
      </c>
      <c r="N77" s="215">
        <v>0</v>
      </c>
      <c r="O77" s="214">
        <v>400</v>
      </c>
      <c r="P77" s="214">
        <v>300</v>
      </c>
      <c r="Q77" s="215">
        <v>0</v>
      </c>
      <c r="R77" s="215">
        <v>0</v>
      </c>
      <c r="S77" s="214">
        <v>1978.04</v>
      </c>
      <c r="T77" s="214">
        <v>1036.8</v>
      </c>
      <c r="U77" s="215">
        <v>0</v>
      </c>
      <c r="V77" s="215">
        <v>0</v>
      </c>
      <c r="W77" s="214">
        <v>253</v>
      </c>
      <c r="X77" s="214">
        <v>126.5</v>
      </c>
      <c r="Y77" s="215">
        <v>0</v>
      </c>
      <c r="Z77" s="215">
        <v>0</v>
      </c>
      <c r="AA77" s="214">
        <v>57.59</v>
      </c>
      <c r="AB77" s="214">
        <v>28.8</v>
      </c>
      <c r="AC77" s="215">
        <v>0</v>
      </c>
      <c r="AD77" s="215">
        <v>0</v>
      </c>
    </row>
    <row r="78" spans="1:30" ht="24.75" customHeight="1">
      <c r="A78" s="147" t="s">
        <v>334</v>
      </c>
      <c r="B78" s="213" t="s">
        <v>335</v>
      </c>
      <c r="C78" s="214">
        <v>338.52</v>
      </c>
      <c r="D78" s="214">
        <v>169.26</v>
      </c>
      <c r="E78" s="215">
        <v>0</v>
      </c>
      <c r="F78" s="215">
        <v>0</v>
      </c>
      <c r="G78" s="214">
        <v>98.25</v>
      </c>
      <c r="H78" s="214">
        <v>49.13</v>
      </c>
      <c r="I78" s="215">
        <v>0</v>
      </c>
      <c r="J78" s="215">
        <v>0</v>
      </c>
      <c r="K78" s="214">
        <v>151.82</v>
      </c>
      <c r="L78" s="214">
        <v>75.91</v>
      </c>
      <c r="M78" s="215">
        <v>0</v>
      </c>
      <c r="N78" s="215">
        <v>0</v>
      </c>
      <c r="O78" s="214">
        <v>56</v>
      </c>
      <c r="P78" s="214">
        <v>28</v>
      </c>
      <c r="Q78" s="215">
        <v>0</v>
      </c>
      <c r="R78" s="215">
        <v>0</v>
      </c>
      <c r="S78" s="214">
        <v>288.8</v>
      </c>
      <c r="T78" s="214">
        <v>146.31</v>
      </c>
      <c r="U78" s="215">
        <v>0</v>
      </c>
      <c r="V78" s="215">
        <v>0</v>
      </c>
      <c r="W78" s="214">
        <v>254</v>
      </c>
      <c r="X78" s="214">
        <v>127</v>
      </c>
      <c r="Y78" s="215">
        <v>0</v>
      </c>
      <c r="Z78" s="215">
        <v>0</v>
      </c>
      <c r="AA78" s="214">
        <v>57.59</v>
      </c>
      <c r="AB78" s="214">
        <v>28.8</v>
      </c>
      <c r="AC78" s="215">
        <v>0</v>
      </c>
      <c r="AD78" s="215">
        <v>0</v>
      </c>
    </row>
    <row r="79" spans="1:30" ht="24.75" customHeight="1">
      <c r="A79" s="147" t="s">
        <v>336</v>
      </c>
      <c r="B79" s="213" t="s">
        <v>337</v>
      </c>
      <c r="C79" s="214">
        <v>338.52</v>
      </c>
      <c r="D79" s="214">
        <v>169.26</v>
      </c>
      <c r="E79" s="215">
        <v>0</v>
      </c>
      <c r="F79" s="215">
        <v>0</v>
      </c>
      <c r="G79" s="214">
        <v>155.34</v>
      </c>
      <c r="H79" s="214">
        <v>77.67</v>
      </c>
      <c r="I79" s="215">
        <v>0</v>
      </c>
      <c r="J79" s="215">
        <v>0</v>
      </c>
      <c r="K79" s="214">
        <v>151.82</v>
      </c>
      <c r="L79" s="214">
        <v>75.91</v>
      </c>
      <c r="M79" s="215">
        <v>0</v>
      </c>
      <c r="N79" s="215">
        <v>0</v>
      </c>
      <c r="O79" s="214">
        <v>58</v>
      </c>
      <c r="P79" s="214">
        <v>29</v>
      </c>
      <c r="Q79" s="215">
        <v>0</v>
      </c>
      <c r="R79" s="215">
        <v>0</v>
      </c>
      <c r="S79" s="214">
        <v>288.8</v>
      </c>
      <c r="T79" s="214">
        <v>146.31</v>
      </c>
      <c r="U79" s="215">
        <v>0</v>
      </c>
      <c r="V79" s="215">
        <v>0</v>
      </c>
      <c r="W79" s="214">
        <v>256</v>
      </c>
      <c r="X79" s="214">
        <v>128</v>
      </c>
      <c r="Y79" s="215">
        <v>0</v>
      </c>
      <c r="Z79" s="215">
        <v>0</v>
      </c>
      <c r="AA79" s="214">
        <v>57.59</v>
      </c>
      <c r="AB79" s="214">
        <v>28.8</v>
      </c>
      <c r="AC79" s="215">
        <v>0</v>
      </c>
      <c r="AD79" s="215">
        <v>0</v>
      </c>
    </row>
    <row r="80" spans="1:30" ht="24.75" customHeight="1">
      <c r="A80" s="147" t="s">
        <v>338</v>
      </c>
      <c r="B80" s="213" t="s">
        <v>339</v>
      </c>
      <c r="C80" s="214">
        <v>338.52</v>
      </c>
      <c r="D80" s="214">
        <v>169.26</v>
      </c>
      <c r="E80" s="215">
        <v>0</v>
      </c>
      <c r="F80" s="215">
        <v>0</v>
      </c>
      <c r="G80" s="214">
        <v>329.42</v>
      </c>
      <c r="H80" s="214">
        <v>164.71</v>
      </c>
      <c r="I80" s="215">
        <v>0</v>
      </c>
      <c r="J80" s="215">
        <v>0</v>
      </c>
      <c r="K80" s="214">
        <v>151.82</v>
      </c>
      <c r="L80" s="214">
        <v>75.91</v>
      </c>
      <c r="M80" s="215">
        <v>0</v>
      </c>
      <c r="N80" s="215">
        <v>0</v>
      </c>
      <c r="O80" s="214">
        <v>60</v>
      </c>
      <c r="P80" s="214">
        <v>30</v>
      </c>
      <c r="Q80" s="215">
        <v>0</v>
      </c>
      <c r="R80" s="215">
        <v>0</v>
      </c>
      <c r="S80" s="214">
        <v>288.8</v>
      </c>
      <c r="T80" s="214">
        <v>146.31</v>
      </c>
      <c r="U80" s="215">
        <v>0</v>
      </c>
      <c r="V80" s="215">
        <v>0</v>
      </c>
      <c r="W80" s="214">
        <v>258</v>
      </c>
      <c r="X80" s="214">
        <v>129</v>
      </c>
      <c r="Y80" s="215">
        <v>0</v>
      </c>
      <c r="Z80" s="215">
        <v>0</v>
      </c>
      <c r="AA80" s="214">
        <v>57.59</v>
      </c>
      <c r="AB80" s="214">
        <v>28.8</v>
      </c>
      <c r="AC80" s="215">
        <v>0</v>
      </c>
      <c r="AD80" s="215">
        <v>0</v>
      </c>
    </row>
    <row r="81" spans="1:30" ht="24.75" customHeight="1">
      <c r="A81" s="147" t="s">
        <v>340</v>
      </c>
      <c r="B81" s="213" t="s">
        <v>341</v>
      </c>
      <c r="C81" s="214">
        <v>338.52</v>
      </c>
      <c r="D81" s="214">
        <v>169.26</v>
      </c>
      <c r="E81" s="215">
        <v>0</v>
      </c>
      <c r="F81" s="215">
        <v>0</v>
      </c>
      <c r="G81" s="214">
        <v>157.3</v>
      </c>
      <c r="H81" s="214">
        <v>78.65</v>
      </c>
      <c r="I81" s="215">
        <v>0</v>
      </c>
      <c r="J81" s="215">
        <v>0</v>
      </c>
      <c r="K81" s="214">
        <v>151.82</v>
      </c>
      <c r="L81" s="214">
        <v>75.91</v>
      </c>
      <c r="M81" s="215">
        <v>0</v>
      </c>
      <c r="N81" s="215">
        <v>0</v>
      </c>
      <c r="O81" s="214">
        <v>56</v>
      </c>
      <c r="P81" s="214">
        <v>28</v>
      </c>
      <c r="Q81" s="215">
        <v>0</v>
      </c>
      <c r="R81" s="215">
        <v>0</v>
      </c>
      <c r="S81" s="214">
        <v>263.27</v>
      </c>
      <c r="T81" s="214">
        <v>133.79</v>
      </c>
      <c r="U81" s="215">
        <v>0</v>
      </c>
      <c r="V81" s="215">
        <v>0</v>
      </c>
      <c r="W81" s="214">
        <v>260</v>
      </c>
      <c r="X81" s="214">
        <v>130</v>
      </c>
      <c r="Y81" s="215">
        <v>0</v>
      </c>
      <c r="Z81" s="215">
        <v>0</v>
      </c>
      <c r="AA81" s="214">
        <v>57.59</v>
      </c>
      <c r="AB81" s="214">
        <v>28.8</v>
      </c>
      <c r="AC81" s="215">
        <v>0</v>
      </c>
      <c r="AD81" s="215">
        <v>0</v>
      </c>
    </row>
    <row r="82" spans="1:30" ht="24.75" customHeight="1">
      <c r="A82" s="147" t="s">
        <v>342</v>
      </c>
      <c r="B82" s="213" t="s">
        <v>343</v>
      </c>
      <c r="C82" s="214">
        <v>338.52</v>
      </c>
      <c r="D82" s="214">
        <v>169.26</v>
      </c>
      <c r="E82" s="215">
        <v>0</v>
      </c>
      <c r="F82" s="215">
        <v>0</v>
      </c>
      <c r="G82" s="214">
        <v>98.25</v>
      </c>
      <c r="H82" s="214">
        <v>49.13</v>
      </c>
      <c r="I82" s="215">
        <v>0</v>
      </c>
      <c r="J82" s="215">
        <v>0</v>
      </c>
      <c r="K82" s="214">
        <v>438.2</v>
      </c>
      <c r="L82" s="214">
        <v>219.1</v>
      </c>
      <c r="M82" s="215">
        <v>0</v>
      </c>
      <c r="N82" s="215">
        <v>0</v>
      </c>
      <c r="O82" s="214">
        <v>56</v>
      </c>
      <c r="P82" s="214">
        <v>28</v>
      </c>
      <c r="Q82" s="215">
        <v>0</v>
      </c>
      <c r="R82" s="215">
        <v>0</v>
      </c>
      <c r="S82" s="214">
        <v>1556.71</v>
      </c>
      <c r="T82" s="214">
        <v>810.47</v>
      </c>
      <c r="U82" s="215">
        <v>0</v>
      </c>
      <c r="V82" s="215">
        <v>0</v>
      </c>
      <c r="W82" s="214">
        <v>262</v>
      </c>
      <c r="X82" s="214">
        <v>131</v>
      </c>
      <c r="Y82" s="215">
        <v>0</v>
      </c>
      <c r="Z82" s="215">
        <v>0</v>
      </c>
      <c r="AA82" s="214">
        <v>57.59</v>
      </c>
      <c r="AB82" s="214">
        <v>28.8</v>
      </c>
      <c r="AC82" s="215">
        <v>0</v>
      </c>
      <c r="AD82" s="215">
        <v>0</v>
      </c>
    </row>
    <row r="83" spans="1:30" ht="24.75" customHeight="1">
      <c r="A83" s="147" t="s">
        <v>344</v>
      </c>
      <c r="B83" s="213" t="s">
        <v>345</v>
      </c>
      <c r="C83" s="214">
        <v>338.52</v>
      </c>
      <c r="D83" s="214">
        <v>169.26</v>
      </c>
      <c r="E83" s="215">
        <v>0</v>
      </c>
      <c r="F83" s="215">
        <v>0</v>
      </c>
      <c r="G83" s="214">
        <v>155.34</v>
      </c>
      <c r="H83" s="214">
        <v>77.67</v>
      </c>
      <c r="I83" s="215">
        <v>0</v>
      </c>
      <c r="J83" s="215">
        <v>0</v>
      </c>
      <c r="K83" s="214">
        <v>525.84</v>
      </c>
      <c r="L83" s="214">
        <v>262.92</v>
      </c>
      <c r="M83" s="215">
        <v>0</v>
      </c>
      <c r="N83" s="215">
        <v>0</v>
      </c>
      <c r="O83" s="214">
        <v>58</v>
      </c>
      <c r="P83" s="214">
        <v>29</v>
      </c>
      <c r="Q83" s="215">
        <v>0</v>
      </c>
      <c r="R83" s="215">
        <v>0</v>
      </c>
      <c r="S83" s="214">
        <v>1757.4</v>
      </c>
      <c r="T83" s="214">
        <v>880.92</v>
      </c>
      <c r="U83" s="215">
        <v>0</v>
      </c>
      <c r="V83" s="215">
        <v>0</v>
      </c>
      <c r="W83" s="214">
        <v>264</v>
      </c>
      <c r="X83" s="214">
        <v>132</v>
      </c>
      <c r="Y83" s="215">
        <v>0</v>
      </c>
      <c r="Z83" s="215">
        <v>0</v>
      </c>
      <c r="AA83" s="214">
        <v>57.59</v>
      </c>
      <c r="AB83" s="214">
        <v>28.8</v>
      </c>
      <c r="AC83" s="215">
        <v>0</v>
      </c>
      <c r="AD83" s="215">
        <v>0</v>
      </c>
    </row>
    <row r="84" spans="1:30" ht="24.75" customHeight="1">
      <c r="A84" s="147" t="s">
        <v>346</v>
      </c>
      <c r="B84" s="213" t="s">
        <v>347</v>
      </c>
      <c r="C84" s="214">
        <v>338.52</v>
      </c>
      <c r="D84" s="214">
        <v>169.26</v>
      </c>
      <c r="E84" s="215">
        <v>0</v>
      </c>
      <c r="F84" s="215">
        <v>0</v>
      </c>
      <c r="G84" s="214">
        <v>329.42</v>
      </c>
      <c r="H84" s="214">
        <v>164.71</v>
      </c>
      <c r="I84" s="215">
        <v>0</v>
      </c>
      <c r="J84" s="215">
        <v>0</v>
      </c>
      <c r="K84" s="214">
        <v>657.3</v>
      </c>
      <c r="L84" s="214">
        <v>328.65</v>
      </c>
      <c r="M84" s="215">
        <v>0</v>
      </c>
      <c r="N84" s="215">
        <v>0</v>
      </c>
      <c r="O84" s="214">
        <v>60</v>
      </c>
      <c r="P84" s="214">
        <v>30</v>
      </c>
      <c r="Q84" s="215">
        <v>0</v>
      </c>
      <c r="R84" s="215">
        <v>0</v>
      </c>
      <c r="S84" s="214">
        <v>1978.04</v>
      </c>
      <c r="T84" s="214">
        <v>1036.8</v>
      </c>
      <c r="U84" s="215">
        <v>0</v>
      </c>
      <c r="V84" s="215">
        <v>0</v>
      </c>
      <c r="W84" s="214">
        <v>266</v>
      </c>
      <c r="X84" s="214">
        <v>133</v>
      </c>
      <c r="Y84" s="215">
        <v>0</v>
      </c>
      <c r="Z84" s="215">
        <v>0</v>
      </c>
      <c r="AA84" s="214">
        <v>57.59</v>
      </c>
      <c r="AB84" s="214">
        <v>28.8</v>
      </c>
      <c r="AC84" s="215">
        <v>0</v>
      </c>
      <c r="AD84" s="215">
        <v>0</v>
      </c>
    </row>
    <row r="85" spans="1:30" ht="24.75" customHeight="1">
      <c r="A85" s="218" t="s">
        <v>348</v>
      </c>
      <c r="B85" s="219" t="s">
        <v>349</v>
      </c>
      <c r="C85" s="220">
        <v>0</v>
      </c>
      <c r="D85" s="214">
        <v>234.98</v>
      </c>
      <c r="E85" s="215">
        <v>0</v>
      </c>
      <c r="F85" s="215">
        <v>0</v>
      </c>
      <c r="G85" s="220">
        <v>0</v>
      </c>
      <c r="H85" s="214">
        <v>19.15</v>
      </c>
      <c r="I85" s="215">
        <v>0</v>
      </c>
      <c r="J85" s="215">
        <v>0</v>
      </c>
      <c r="K85" s="220">
        <v>0</v>
      </c>
      <c r="L85" s="214">
        <v>70</v>
      </c>
      <c r="M85" s="215">
        <v>0</v>
      </c>
      <c r="N85" s="215">
        <v>0</v>
      </c>
      <c r="O85" s="220">
        <v>0</v>
      </c>
      <c r="P85" s="214">
        <v>24</v>
      </c>
      <c r="Q85" s="215">
        <v>0</v>
      </c>
      <c r="R85" s="215">
        <v>0</v>
      </c>
      <c r="S85" s="220">
        <v>0</v>
      </c>
      <c r="T85" s="214">
        <v>2.35</v>
      </c>
      <c r="U85" s="215">
        <v>0</v>
      </c>
      <c r="V85" s="215">
        <v>0</v>
      </c>
      <c r="W85" s="220">
        <v>0</v>
      </c>
      <c r="X85" s="214">
        <v>30</v>
      </c>
      <c r="Y85" s="215">
        <v>0</v>
      </c>
      <c r="Z85" s="215">
        <v>0</v>
      </c>
      <c r="AA85" s="220">
        <v>0</v>
      </c>
      <c r="AB85" s="214">
        <v>49.06</v>
      </c>
      <c r="AC85" s="215">
        <v>0</v>
      </c>
      <c r="AD85" s="215">
        <v>0</v>
      </c>
    </row>
    <row r="86" spans="1:30" ht="24.75" customHeight="1">
      <c r="A86" s="218" t="s">
        <v>350</v>
      </c>
      <c r="B86" s="219" t="s">
        <v>351</v>
      </c>
      <c r="C86" s="220">
        <v>0</v>
      </c>
      <c r="D86" s="214">
        <v>256.53</v>
      </c>
      <c r="E86" s="215">
        <v>0</v>
      </c>
      <c r="F86" s="215">
        <v>0</v>
      </c>
      <c r="G86" s="220">
        <v>0</v>
      </c>
      <c r="H86" s="214">
        <v>22.16</v>
      </c>
      <c r="I86" s="215">
        <v>0</v>
      </c>
      <c r="J86" s="215">
        <v>0</v>
      </c>
      <c r="K86" s="220">
        <v>0</v>
      </c>
      <c r="L86" s="214">
        <v>80</v>
      </c>
      <c r="M86" s="215">
        <v>0</v>
      </c>
      <c r="N86" s="215">
        <v>0</v>
      </c>
      <c r="O86" s="220">
        <v>0</v>
      </c>
      <c r="P86" s="214">
        <v>30</v>
      </c>
      <c r="Q86" s="215">
        <v>0</v>
      </c>
      <c r="R86" s="215">
        <v>0</v>
      </c>
      <c r="S86" s="220">
        <v>0</v>
      </c>
      <c r="T86" s="214">
        <v>2.35</v>
      </c>
      <c r="U86" s="215">
        <v>0</v>
      </c>
      <c r="V86" s="215">
        <v>0</v>
      </c>
      <c r="W86" s="220">
        <v>0</v>
      </c>
      <c r="X86" s="214">
        <v>38</v>
      </c>
      <c r="Y86" s="215">
        <v>0</v>
      </c>
      <c r="Z86" s="215">
        <v>0</v>
      </c>
      <c r="AA86" s="220">
        <v>0</v>
      </c>
      <c r="AB86" s="214">
        <v>49.06</v>
      </c>
      <c r="AC86" s="215">
        <v>0</v>
      </c>
      <c r="AD86" s="215">
        <v>0</v>
      </c>
    </row>
    <row r="87" spans="1:30" ht="24.75" customHeight="1">
      <c r="A87" s="218" t="s">
        <v>352</v>
      </c>
      <c r="B87" s="219" t="s">
        <v>353</v>
      </c>
      <c r="C87" s="220">
        <v>0</v>
      </c>
      <c r="D87" s="214">
        <v>285.14</v>
      </c>
      <c r="E87" s="215">
        <v>0</v>
      </c>
      <c r="F87" s="215">
        <v>0</v>
      </c>
      <c r="G87" s="220">
        <v>0</v>
      </c>
      <c r="H87" s="214">
        <v>27.23</v>
      </c>
      <c r="I87" s="215">
        <v>0</v>
      </c>
      <c r="J87" s="215">
        <v>0</v>
      </c>
      <c r="K87" s="220">
        <v>0</v>
      </c>
      <c r="L87" s="214">
        <v>90</v>
      </c>
      <c r="M87" s="215">
        <v>0</v>
      </c>
      <c r="N87" s="215">
        <v>0</v>
      </c>
      <c r="O87" s="220">
        <v>0</v>
      </c>
      <c r="P87" s="214">
        <v>50</v>
      </c>
      <c r="Q87" s="215">
        <v>0</v>
      </c>
      <c r="R87" s="215">
        <v>0</v>
      </c>
      <c r="S87" s="220">
        <v>0</v>
      </c>
      <c r="T87" s="214">
        <v>2.35</v>
      </c>
      <c r="U87" s="215">
        <v>0</v>
      </c>
      <c r="V87" s="215">
        <v>0</v>
      </c>
      <c r="W87" s="220">
        <v>0</v>
      </c>
      <c r="X87" s="214">
        <v>130</v>
      </c>
      <c r="Y87" s="215">
        <v>0</v>
      </c>
      <c r="Z87" s="215">
        <v>0</v>
      </c>
      <c r="AA87" s="220">
        <v>0</v>
      </c>
      <c r="AB87" s="214">
        <v>63.91</v>
      </c>
      <c r="AC87" s="215">
        <v>0</v>
      </c>
      <c r="AD87" s="215">
        <v>0</v>
      </c>
    </row>
    <row r="88" spans="1:30" ht="24.75" customHeight="1">
      <c r="A88" s="218" t="s">
        <v>354</v>
      </c>
      <c r="B88" s="219" t="s">
        <v>355</v>
      </c>
      <c r="C88" s="220">
        <v>0</v>
      </c>
      <c r="D88" s="214">
        <v>392.81</v>
      </c>
      <c r="E88" s="215">
        <v>0</v>
      </c>
      <c r="F88" s="215">
        <v>0</v>
      </c>
      <c r="G88" s="220">
        <v>0</v>
      </c>
      <c r="H88" s="214">
        <v>32.3</v>
      </c>
      <c r="I88" s="215">
        <v>0</v>
      </c>
      <c r="J88" s="215">
        <v>0</v>
      </c>
      <c r="K88" s="220">
        <v>0</v>
      </c>
      <c r="L88" s="214">
        <v>100</v>
      </c>
      <c r="M88" s="215">
        <v>0</v>
      </c>
      <c r="N88" s="215">
        <v>0</v>
      </c>
      <c r="O88" s="220">
        <v>0</v>
      </c>
      <c r="P88" s="214">
        <v>95</v>
      </c>
      <c r="Q88" s="215">
        <v>0</v>
      </c>
      <c r="R88" s="215">
        <v>0</v>
      </c>
      <c r="S88" s="220">
        <v>0</v>
      </c>
      <c r="T88" s="214">
        <v>2.35</v>
      </c>
      <c r="U88" s="215">
        <v>0</v>
      </c>
      <c r="V88" s="215">
        <v>0</v>
      </c>
      <c r="W88" s="220">
        <v>0</v>
      </c>
      <c r="X88" s="214">
        <v>300</v>
      </c>
      <c r="Y88" s="215">
        <v>0</v>
      </c>
      <c r="Z88" s="215">
        <v>0</v>
      </c>
      <c r="AA88" s="220">
        <v>0</v>
      </c>
      <c r="AB88" s="214">
        <v>228.13</v>
      </c>
      <c r="AC88" s="215">
        <v>0</v>
      </c>
      <c r="AD88" s="215">
        <v>0</v>
      </c>
    </row>
    <row r="89" spans="1:30" ht="24.75" customHeight="1">
      <c r="A89" s="218" t="s">
        <v>356</v>
      </c>
      <c r="B89" s="219" t="s">
        <v>357</v>
      </c>
      <c r="C89" s="220">
        <v>0</v>
      </c>
      <c r="D89" s="214">
        <v>436.62</v>
      </c>
      <c r="E89" s="215">
        <v>0</v>
      </c>
      <c r="F89" s="215">
        <v>0</v>
      </c>
      <c r="G89" s="220">
        <v>0</v>
      </c>
      <c r="H89" s="214">
        <v>41.47</v>
      </c>
      <c r="I89" s="215">
        <v>0</v>
      </c>
      <c r="J89" s="215">
        <v>0</v>
      </c>
      <c r="K89" s="220">
        <v>0</v>
      </c>
      <c r="L89" s="214">
        <v>120</v>
      </c>
      <c r="M89" s="215">
        <v>0</v>
      </c>
      <c r="N89" s="215">
        <v>0</v>
      </c>
      <c r="O89" s="220">
        <v>0</v>
      </c>
      <c r="P89" s="214">
        <v>100</v>
      </c>
      <c r="Q89" s="215">
        <v>0</v>
      </c>
      <c r="R89" s="215">
        <v>0</v>
      </c>
      <c r="S89" s="220">
        <v>0</v>
      </c>
      <c r="T89" s="214">
        <v>2.35</v>
      </c>
      <c r="U89" s="215">
        <v>0</v>
      </c>
      <c r="V89" s="215">
        <v>0</v>
      </c>
      <c r="W89" s="220">
        <v>0</v>
      </c>
      <c r="X89" s="214">
        <v>440</v>
      </c>
      <c r="Y89" s="215">
        <v>0</v>
      </c>
      <c r="Z89" s="215">
        <v>0</v>
      </c>
      <c r="AA89" s="220">
        <v>0</v>
      </c>
      <c r="AB89" s="214">
        <v>267.05</v>
      </c>
      <c r="AC89" s="215">
        <v>0</v>
      </c>
      <c r="AD89" s="215">
        <v>0</v>
      </c>
    </row>
    <row r="90" spans="1:30" ht="24.75" customHeight="1">
      <c r="A90" s="218" t="s">
        <v>358</v>
      </c>
      <c r="B90" s="219" t="s">
        <v>359</v>
      </c>
      <c r="C90" s="220">
        <v>0</v>
      </c>
      <c r="D90" s="214">
        <v>786.38</v>
      </c>
      <c r="E90" s="215">
        <v>0</v>
      </c>
      <c r="F90" s="215">
        <v>0</v>
      </c>
      <c r="G90" s="220">
        <v>0</v>
      </c>
      <c r="H90" s="214">
        <v>62.96</v>
      </c>
      <c r="I90" s="215">
        <v>0</v>
      </c>
      <c r="J90" s="215">
        <v>0</v>
      </c>
      <c r="K90" s="220">
        <v>0</v>
      </c>
      <c r="L90" s="214">
        <v>140</v>
      </c>
      <c r="M90" s="215">
        <v>0</v>
      </c>
      <c r="N90" s="215">
        <v>0</v>
      </c>
      <c r="O90" s="220">
        <v>0</v>
      </c>
      <c r="P90" s="214">
        <v>300</v>
      </c>
      <c r="Q90" s="215">
        <v>0</v>
      </c>
      <c r="R90" s="215">
        <v>0</v>
      </c>
      <c r="S90" s="220">
        <v>0</v>
      </c>
      <c r="T90" s="214">
        <v>2.35</v>
      </c>
      <c r="U90" s="215">
        <v>0</v>
      </c>
      <c r="V90" s="215">
        <v>0</v>
      </c>
      <c r="W90" s="220">
        <v>0</v>
      </c>
      <c r="X90" s="214">
        <v>1900</v>
      </c>
      <c r="Y90" s="215">
        <v>0</v>
      </c>
      <c r="Z90" s="215">
        <v>0</v>
      </c>
      <c r="AA90" s="220">
        <v>0</v>
      </c>
      <c r="AB90" s="214">
        <v>1562.19</v>
      </c>
      <c r="AC90" s="215">
        <v>0</v>
      </c>
      <c r="AD90" s="215">
        <v>0</v>
      </c>
    </row>
    <row r="91" spans="1:30" ht="24.75" customHeight="1">
      <c r="A91" s="218" t="s">
        <v>360</v>
      </c>
      <c r="B91" s="219" t="s">
        <v>361</v>
      </c>
      <c r="C91" s="220">
        <v>0</v>
      </c>
      <c r="D91" s="214">
        <v>234.98</v>
      </c>
      <c r="E91" s="215">
        <v>0</v>
      </c>
      <c r="F91" s="215">
        <v>0</v>
      </c>
      <c r="G91" s="220">
        <v>0</v>
      </c>
      <c r="H91" s="214">
        <v>19.15</v>
      </c>
      <c r="I91" s="215">
        <v>0</v>
      </c>
      <c r="J91" s="215">
        <v>0</v>
      </c>
      <c r="K91" s="220">
        <v>0</v>
      </c>
      <c r="L91" s="214">
        <v>70</v>
      </c>
      <c r="M91" s="215">
        <v>0</v>
      </c>
      <c r="N91" s="215">
        <v>0</v>
      </c>
      <c r="O91" s="220">
        <v>0</v>
      </c>
      <c r="P91" s="214">
        <v>20</v>
      </c>
      <c r="Q91" s="215">
        <v>0</v>
      </c>
      <c r="R91" s="215">
        <v>0</v>
      </c>
      <c r="S91" s="220">
        <v>0</v>
      </c>
      <c r="T91" s="214">
        <v>2.35</v>
      </c>
      <c r="U91" s="215">
        <v>0</v>
      </c>
      <c r="V91" s="215">
        <v>0</v>
      </c>
      <c r="W91" s="220">
        <v>0</v>
      </c>
      <c r="X91" s="214">
        <v>25</v>
      </c>
      <c r="Y91" s="215">
        <v>0</v>
      </c>
      <c r="Z91" s="215">
        <v>0</v>
      </c>
      <c r="AA91" s="220">
        <v>0</v>
      </c>
      <c r="AB91" s="214">
        <v>50.41</v>
      </c>
      <c r="AC91" s="215">
        <v>0</v>
      </c>
      <c r="AD91" s="215">
        <v>0</v>
      </c>
    </row>
    <row r="92" spans="1:30" ht="24.75" customHeight="1">
      <c r="A92" s="218" t="s">
        <v>362</v>
      </c>
      <c r="B92" s="219" t="s">
        <v>363</v>
      </c>
      <c r="C92" s="220">
        <v>0</v>
      </c>
      <c r="D92" s="214">
        <v>256.53</v>
      </c>
      <c r="E92" s="215">
        <v>0</v>
      </c>
      <c r="F92" s="215">
        <v>0</v>
      </c>
      <c r="G92" s="220">
        <v>0</v>
      </c>
      <c r="H92" s="214">
        <v>22.16</v>
      </c>
      <c r="I92" s="215">
        <v>0</v>
      </c>
      <c r="J92" s="215">
        <v>0</v>
      </c>
      <c r="K92" s="220">
        <v>0</v>
      </c>
      <c r="L92" s="214">
        <v>80</v>
      </c>
      <c r="M92" s="215">
        <v>0</v>
      </c>
      <c r="N92" s="215">
        <v>0</v>
      </c>
      <c r="O92" s="220">
        <v>0</v>
      </c>
      <c r="P92" s="214">
        <v>40</v>
      </c>
      <c r="Q92" s="215">
        <v>0</v>
      </c>
      <c r="R92" s="215">
        <v>0</v>
      </c>
      <c r="S92" s="220">
        <v>0</v>
      </c>
      <c r="T92" s="214">
        <v>2.35</v>
      </c>
      <c r="U92" s="215">
        <v>0</v>
      </c>
      <c r="V92" s="215">
        <v>0</v>
      </c>
      <c r="W92" s="220">
        <v>0</v>
      </c>
      <c r="X92" s="214">
        <v>29</v>
      </c>
      <c r="Y92" s="215">
        <v>0</v>
      </c>
      <c r="Z92" s="215">
        <v>0</v>
      </c>
      <c r="AA92" s="220">
        <v>0</v>
      </c>
      <c r="AB92" s="214">
        <v>50.41</v>
      </c>
      <c r="AC92" s="215">
        <v>0</v>
      </c>
      <c r="AD92" s="215">
        <v>0</v>
      </c>
    </row>
    <row r="93" spans="1:30" ht="24.75" customHeight="1">
      <c r="A93" s="218" t="s">
        <v>364</v>
      </c>
      <c r="B93" s="219" t="s">
        <v>365</v>
      </c>
      <c r="C93" s="220">
        <v>0</v>
      </c>
      <c r="D93" s="214">
        <v>285.14</v>
      </c>
      <c r="E93" s="215">
        <v>0</v>
      </c>
      <c r="F93" s="215">
        <v>0</v>
      </c>
      <c r="G93" s="220">
        <v>0</v>
      </c>
      <c r="H93" s="214">
        <v>27.23</v>
      </c>
      <c r="I93" s="215">
        <v>0</v>
      </c>
      <c r="J93" s="215">
        <v>0</v>
      </c>
      <c r="K93" s="220">
        <v>0</v>
      </c>
      <c r="L93" s="214">
        <v>90</v>
      </c>
      <c r="M93" s="215">
        <v>0</v>
      </c>
      <c r="N93" s="215">
        <v>0</v>
      </c>
      <c r="O93" s="220">
        <v>0</v>
      </c>
      <c r="P93" s="214">
        <v>60</v>
      </c>
      <c r="Q93" s="215">
        <v>0</v>
      </c>
      <c r="R93" s="215">
        <v>0</v>
      </c>
      <c r="S93" s="220">
        <v>0</v>
      </c>
      <c r="T93" s="214">
        <v>2.35</v>
      </c>
      <c r="U93" s="215">
        <v>0</v>
      </c>
      <c r="V93" s="215">
        <v>0</v>
      </c>
      <c r="W93" s="220">
        <v>0</v>
      </c>
      <c r="X93" s="214">
        <v>50</v>
      </c>
      <c r="Y93" s="215">
        <v>0</v>
      </c>
      <c r="Z93" s="215">
        <v>0</v>
      </c>
      <c r="AA93" s="220">
        <v>0</v>
      </c>
      <c r="AB93" s="214">
        <v>65.25</v>
      </c>
      <c r="AC93" s="215">
        <v>0</v>
      </c>
      <c r="AD93" s="215">
        <v>0</v>
      </c>
    </row>
    <row r="94" spans="1:30" ht="24.75" customHeight="1">
      <c r="A94" s="218" t="s">
        <v>366</v>
      </c>
      <c r="B94" s="219" t="s">
        <v>367</v>
      </c>
      <c r="C94" s="220">
        <v>0</v>
      </c>
      <c r="D94" s="214">
        <v>392.81</v>
      </c>
      <c r="E94" s="215">
        <v>0</v>
      </c>
      <c r="F94" s="215">
        <v>0</v>
      </c>
      <c r="G94" s="220">
        <v>0</v>
      </c>
      <c r="H94" s="214">
        <v>32.3</v>
      </c>
      <c r="I94" s="215">
        <v>0</v>
      </c>
      <c r="J94" s="215">
        <v>0</v>
      </c>
      <c r="K94" s="220">
        <v>0</v>
      </c>
      <c r="L94" s="214">
        <v>100</v>
      </c>
      <c r="M94" s="215">
        <v>0</v>
      </c>
      <c r="N94" s="215">
        <v>0</v>
      </c>
      <c r="O94" s="220">
        <v>0</v>
      </c>
      <c r="P94" s="214">
        <v>95</v>
      </c>
      <c r="Q94" s="215">
        <v>0</v>
      </c>
      <c r="R94" s="215">
        <v>0</v>
      </c>
      <c r="S94" s="220">
        <v>0</v>
      </c>
      <c r="T94" s="214">
        <v>2.35</v>
      </c>
      <c r="U94" s="215">
        <v>0</v>
      </c>
      <c r="V94" s="215">
        <v>0</v>
      </c>
      <c r="W94" s="220">
        <v>0</v>
      </c>
      <c r="X94" s="214">
        <v>210</v>
      </c>
      <c r="Y94" s="215">
        <v>0</v>
      </c>
      <c r="Z94" s="215">
        <v>0</v>
      </c>
      <c r="AA94" s="220">
        <v>0</v>
      </c>
      <c r="AB94" s="214">
        <v>230.17</v>
      </c>
      <c r="AC94" s="215">
        <v>0</v>
      </c>
      <c r="AD94" s="215">
        <v>0</v>
      </c>
    </row>
    <row r="95" spans="1:30" ht="24.75" customHeight="1">
      <c r="A95" s="218" t="s">
        <v>368</v>
      </c>
      <c r="B95" s="219" t="s">
        <v>369</v>
      </c>
      <c r="C95" s="220">
        <v>0</v>
      </c>
      <c r="D95" s="214">
        <v>436.62</v>
      </c>
      <c r="E95" s="215">
        <v>0</v>
      </c>
      <c r="F95" s="215">
        <v>0</v>
      </c>
      <c r="G95" s="220">
        <v>0</v>
      </c>
      <c r="H95" s="214">
        <v>41.47</v>
      </c>
      <c r="I95" s="215">
        <v>0</v>
      </c>
      <c r="J95" s="215">
        <v>0</v>
      </c>
      <c r="K95" s="220">
        <v>0</v>
      </c>
      <c r="L95" s="214">
        <v>120</v>
      </c>
      <c r="M95" s="215">
        <v>0</v>
      </c>
      <c r="N95" s="215">
        <v>0</v>
      </c>
      <c r="O95" s="220">
        <v>0</v>
      </c>
      <c r="P95" s="214">
        <v>100</v>
      </c>
      <c r="Q95" s="215">
        <v>0</v>
      </c>
      <c r="R95" s="215">
        <v>0</v>
      </c>
      <c r="S95" s="220">
        <v>0</v>
      </c>
      <c r="T95" s="214">
        <v>2.35</v>
      </c>
      <c r="U95" s="215">
        <v>0</v>
      </c>
      <c r="V95" s="215">
        <v>0</v>
      </c>
      <c r="W95" s="220">
        <v>0</v>
      </c>
      <c r="X95" s="214">
        <v>300</v>
      </c>
      <c r="Y95" s="215">
        <v>0</v>
      </c>
      <c r="Z95" s="215">
        <v>0</v>
      </c>
      <c r="AA95" s="220">
        <v>0</v>
      </c>
      <c r="AB95" s="214">
        <v>269.09</v>
      </c>
      <c r="AC95" s="215">
        <v>0</v>
      </c>
      <c r="AD95" s="215">
        <v>0</v>
      </c>
    </row>
    <row r="96" spans="1:30" ht="24.75" customHeight="1">
      <c r="A96" s="218" t="s">
        <v>370</v>
      </c>
      <c r="B96" s="219" t="s">
        <v>371</v>
      </c>
      <c r="C96" s="220">
        <v>0</v>
      </c>
      <c r="D96" s="214">
        <v>786.38</v>
      </c>
      <c r="E96" s="215">
        <v>0</v>
      </c>
      <c r="F96" s="215">
        <v>0</v>
      </c>
      <c r="G96" s="220">
        <v>0</v>
      </c>
      <c r="H96" s="214">
        <v>62.96</v>
      </c>
      <c r="I96" s="215">
        <v>0</v>
      </c>
      <c r="J96" s="215">
        <v>0</v>
      </c>
      <c r="K96" s="220">
        <v>0</v>
      </c>
      <c r="L96" s="214">
        <v>140</v>
      </c>
      <c r="M96" s="215">
        <v>0</v>
      </c>
      <c r="N96" s="215">
        <v>0</v>
      </c>
      <c r="O96" s="220">
        <v>0</v>
      </c>
      <c r="P96" s="214">
        <v>300</v>
      </c>
      <c r="Q96" s="215">
        <v>0</v>
      </c>
      <c r="R96" s="215">
        <v>0</v>
      </c>
      <c r="S96" s="220">
        <v>0</v>
      </c>
      <c r="T96" s="214">
        <v>2.35</v>
      </c>
      <c r="U96" s="215">
        <v>0</v>
      </c>
      <c r="V96" s="215">
        <v>0</v>
      </c>
      <c r="W96" s="220">
        <v>0</v>
      </c>
      <c r="X96" s="214">
        <v>1500</v>
      </c>
      <c r="Y96" s="215">
        <v>0</v>
      </c>
      <c r="Z96" s="215">
        <v>0</v>
      </c>
      <c r="AA96" s="220">
        <v>0</v>
      </c>
      <c r="AB96" s="214">
        <v>1565.16</v>
      </c>
      <c r="AC96" s="215">
        <v>0</v>
      </c>
      <c r="AD96" s="215">
        <v>0</v>
      </c>
    </row>
    <row r="97" spans="1:30" ht="24.75" customHeight="1">
      <c r="A97" s="218" t="s">
        <v>372</v>
      </c>
      <c r="B97" s="219" t="s">
        <v>373</v>
      </c>
      <c r="C97" s="220">
        <v>0</v>
      </c>
      <c r="D97" s="214">
        <v>234.98</v>
      </c>
      <c r="E97" s="215">
        <v>0</v>
      </c>
      <c r="F97" s="215">
        <v>0</v>
      </c>
      <c r="G97" s="220">
        <v>0</v>
      </c>
      <c r="H97" s="214">
        <v>29.6</v>
      </c>
      <c r="I97" s="215">
        <v>0</v>
      </c>
      <c r="J97" s="215">
        <v>0</v>
      </c>
      <c r="K97" s="220">
        <v>0</v>
      </c>
      <c r="L97" s="214">
        <v>100</v>
      </c>
      <c r="M97" s="215">
        <v>0</v>
      </c>
      <c r="N97" s="215">
        <v>0</v>
      </c>
      <c r="O97" s="220">
        <v>0</v>
      </c>
      <c r="P97" s="214">
        <v>26.1</v>
      </c>
      <c r="Q97" s="215">
        <v>0</v>
      </c>
      <c r="R97" s="215">
        <v>0</v>
      </c>
      <c r="S97" s="220">
        <v>0</v>
      </c>
      <c r="T97" s="214">
        <v>2.35</v>
      </c>
      <c r="U97" s="215">
        <v>0</v>
      </c>
      <c r="V97" s="215">
        <v>0</v>
      </c>
      <c r="W97" s="220">
        <v>0</v>
      </c>
      <c r="X97" s="214">
        <v>25</v>
      </c>
      <c r="Y97" s="215">
        <v>0</v>
      </c>
      <c r="Z97" s="215">
        <v>0</v>
      </c>
      <c r="AA97" s="220">
        <v>0</v>
      </c>
      <c r="AB97" s="214">
        <v>49.25</v>
      </c>
      <c r="AC97" s="215">
        <v>0</v>
      </c>
      <c r="AD97" s="215">
        <v>0</v>
      </c>
    </row>
    <row r="98" spans="1:30" ht="24.75" customHeight="1">
      <c r="A98" s="218" t="s">
        <v>374</v>
      </c>
      <c r="B98" s="219" t="s">
        <v>375</v>
      </c>
      <c r="C98" s="220">
        <v>0</v>
      </c>
      <c r="D98" s="214">
        <v>256.53</v>
      </c>
      <c r="E98" s="215">
        <v>0</v>
      </c>
      <c r="F98" s="215">
        <v>0</v>
      </c>
      <c r="G98" s="220">
        <v>0</v>
      </c>
      <c r="H98" s="214">
        <v>62.4</v>
      </c>
      <c r="I98" s="215">
        <v>0</v>
      </c>
      <c r="J98" s="215">
        <v>0</v>
      </c>
      <c r="K98" s="220">
        <v>0</v>
      </c>
      <c r="L98" s="214">
        <v>150</v>
      </c>
      <c r="M98" s="215">
        <v>0</v>
      </c>
      <c r="N98" s="215">
        <v>0</v>
      </c>
      <c r="O98" s="220">
        <v>0</v>
      </c>
      <c r="P98" s="214">
        <v>30.2</v>
      </c>
      <c r="Q98" s="215">
        <v>0</v>
      </c>
      <c r="R98" s="215">
        <v>0</v>
      </c>
      <c r="S98" s="220">
        <v>0</v>
      </c>
      <c r="T98" s="214">
        <v>2.35</v>
      </c>
      <c r="U98" s="215">
        <v>0</v>
      </c>
      <c r="V98" s="215">
        <v>0</v>
      </c>
      <c r="W98" s="220">
        <v>0</v>
      </c>
      <c r="X98" s="214">
        <v>30</v>
      </c>
      <c r="Y98" s="215">
        <v>0</v>
      </c>
      <c r="Z98" s="215">
        <v>0</v>
      </c>
      <c r="AA98" s="220">
        <v>0</v>
      </c>
      <c r="AB98" s="214">
        <v>49.25</v>
      </c>
      <c r="AC98" s="215">
        <v>0</v>
      </c>
      <c r="AD98" s="215">
        <v>0</v>
      </c>
    </row>
    <row r="99" spans="1:30" ht="24.75" customHeight="1">
      <c r="A99" s="218" t="s">
        <v>376</v>
      </c>
      <c r="B99" s="219" t="s">
        <v>377</v>
      </c>
      <c r="C99" s="220">
        <v>0</v>
      </c>
      <c r="D99" s="214">
        <v>285.14</v>
      </c>
      <c r="E99" s="215">
        <v>0</v>
      </c>
      <c r="F99" s="215">
        <v>0</v>
      </c>
      <c r="G99" s="220">
        <v>0</v>
      </c>
      <c r="H99" s="214">
        <v>123.21</v>
      </c>
      <c r="I99" s="215">
        <v>0</v>
      </c>
      <c r="J99" s="215">
        <v>0</v>
      </c>
      <c r="K99" s="220">
        <v>0</v>
      </c>
      <c r="L99" s="214">
        <v>308.85</v>
      </c>
      <c r="M99" s="215">
        <v>0</v>
      </c>
      <c r="N99" s="215">
        <v>0</v>
      </c>
      <c r="O99" s="220">
        <v>0</v>
      </c>
      <c r="P99" s="214">
        <v>40</v>
      </c>
      <c r="Q99" s="215">
        <v>0</v>
      </c>
      <c r="R99" s="215">
        <v>0</v>
      </c>
      <c r="S99" s="220">
        <v>0</v>
      </c>
      <c r="T99" s="214">
        <v>2.35</v>
      </c>
      <c r="U99" s="215">
        <v>0</v>
      </c>
      <c r="V99" s="215">
        <v>0</v>
      </c>
      <c r="W99" s="220">
        <v>0</v>
      </c>
      <c r="X99" s="214">
        <v>55</v>
      </c>
      <c r="Y99" s="215">
        <v>0</v>
      </c>
      <c r="Z99" s="215">
        <v>0</v>
      </c>
      <c r="AA99" s="220">
        <v>0</v>
      </c>
      <c r="AB99" s="214">
        <v>64.09</v>
      </c>
      <c r="AC99" s="215">
        <v>0</v>
      </c>
      <c r="AD99" s="215">
        <v>0</v>
      </c>
    </row>
    <row r="100" spans="1:30" ht="24.75" customHeight="1">
      <c r="A100" s="218" t="s">
        <v>378</v>
      </c>
      <c r="B100" s="219" t="s">
        <v>379</v>
      </c>
      <c r="C100" s="220">
        <v>0</v>
      </c>
      <c r="D100" s="214">
        <v>392.81</v>
      </c>
      <c r="E100" s="215">
        <v>0</v>
      </c>
      <c r="F100" s="215">
        <v>0</v>
      </c>
      <c r="G100" s="220">
        <v>0</v>
      </c>
      <c r="H100" s="214">
        <v>219.67</v>
      </c>
      <c r="I100" s="215">
        <v>0</v>
      </c>
      <c r="J100" s="215">
        <v>0</v>
      </c>
      <c r="K100" s="220">
        <v>0</v>
      </c>
      <c r="L100" s="214">
        <v>826.44</v>
      </c>
      <c r="M100" s="215">
        <v>0</v>
      </c>
      <c r="N100" s="215">
        <v>0</v>
      </c>
      <c r="O100" s="220">
        <v>0</v>
      </c>
      <c r="P100" s="214">
        <v>95</v>
      </c>
      <c r="Q100" s="215">
        <v>0</v>
      </c>
      <c r="R100" s="215">
        <v>0</v>
      </c>
      <c r="S100" s="220">
        <v>0</v>
      </c>
      <c r="T100" s="214">
        <v>2.35</v>
      </c>
      <c r="U100" s="215">
        <v>0</v>
      </c>
      <c r="V100" s="215">
        <v>0</v>
      </c>
      <c r="W100" s="220">
        <v>0</v>
      </c>
      <c r="X100" s="214">
        <v>130</v>
      </c>
      <c r="Y100" s="215">
        <v>0</v>
      </c>
      <c r="Z100" s="215">
        <v>0</v>
      </c>
      <c r="AA100" s="220">
        <v>0</v>
      </c>
      <c r="AB100" s="214">
        <v>228.32</v>
      </c>
      <c r="AC100" s="215">
        <v>0</v>
      </c>
      <c r="AD100" s="215">
        <v>0</v>
      </c>
    </row>
    <row r="101" spans="1:30" ht="24.75" customHeight="1">
      <c r="A101" s="218" t="s">
        <v>380</v>
      </c>
      <c r="B101" s="219" t="s">
        <v>381</v>
      </c>
      <c r="C101" s="220">
        <v>0</v>
      </c>
      <c r="D101" s="214">
        <v>436.62</v>
      </c>
      <c r="E101" s="215">
        <v>0</v>
      </c>
      <c r="F101" s="215">
        <v>0</v>
      </c>
      <c r="G101" s="220">
        <v>0</v>
      </c>
      <c r="H101" s="214">
        <v>393.82</v>
      </c>
      <c r="I101" s="215">
        <v>0</v>
      </c>
      <c r="J101" s="215">
        <v>0</v>
      </c>
      <c r="K101" s="220">
        <v>0</v>
      </c>
      <c r="L101" s="214">
        <v>826.44</v>
      </c>
      <c r="M101" s="215">
        <v>0</v>
      </c>
      <c r="N101" s="215">
        <v>0</v>
      </c>
      <c r="O101" s="220">
        <v>0</v>
      </c>
      <c r="P101" s="214">
        <v>100</v>
      </c>
      <c r="Q101" s="215">
        <v>0</v>
      </c>
      <c r="R101" s="215">
        <v>0</v>
      </c>
      <c r="S101" s="220">
        <v>0</v>
      </c>
      <c r="T101" s="214">
        <v>2.35</v>
      </c>
      <c r="U101" s="215">
        <v>0</v>
      </c>
      <c r="V101" s="215">
        <v>0</v>
      </c>
      <c r="W101" s="220">
        <v>0</v>
      </c>
      <c r="X101" s="214">
        <v>180</v>
      </c>
      <c r="Y101" s="215">
        <v>0</v>
      </c>
      <c r="Z101" s="215">
        <v>0</v>
      </c>
      <c r="AA101" s="220">
        <v>0</v>
      </c>
      <c r="AB101" s="214">
        <v>267.24</v>
      </c>
      <c r="AC101" s="215">
        <v>0</v>
      </c>
      <c r="AD101" s="215">
        <v>0</v>
      </c>
    </row>
    <row r="102" spans="1:30" ht="24.75" customHeight="1">
      <c r="A102" s="218" t="s">
        <v>382</v>
      </c>
      <c r="B102" s="219" t="s">
        <v>383</v>
      </c>
      <c r="C102" s="220">
        <v>0</v>
      </c>
      <c r="D102" s="214">
        <v>786.38</v>
      </c>
      <c r="E102" s="215">
        <v>0</v>
      </c>
      <c r="F102" s="215">
        <v>0</v>
      </c>
      <c r="G102" s="220">
        <v>0</v>
      </c>
      <c r="H102" s="214">
        <v>547.5</v>
      </c>
      <c r="I102" s="215">
        <v>0</v>
      </c>
      <c r="J102" s="215">
        <v>0</v>
      </c>
      <c r="K102" s="220">
        <v>0</v>
      </c>
      <c r="L102" s="214">
        <v>826.44</v>
      </c>
      <c r="M102" s="215">
        <v>0</v>
      </c>
      <c r="N102" s="215">
        <v>0</v>
      </c>
      <c r="O102" s="220">
        <v>0</v>
      </c>
      <c r="P102" s="214">
        <v>300</v>
      </c>
      <c r="Q102" s="215">
        <v>0</v>
      </c>
      <c r="R102" s="215">
        <v>0</v>
      </c>
      <c r="S102" s="220">
        <v>0</v>
      </c>
      <c r="T102" s="214">
        <v>2.35</v>
      </c>
      <c r="U102" s="215">
        <v>0</v>
      </c>
      <c r="V102" s="215">
        <v>0</v>
      </c>
      <c r="W102" s="220">
        <v>0</v>
      </c>
      <c r="X102" s="214">
        <v>1100</v>
      </c>
      <c r="Y102" s="215">
        <v>0</v>
      </c>
      <c r="Z102" s="215">
        <v>0</v>
      </c>
      <c r="AA102" s="220">
        <v>0</v>
      </c>
      <c r="AB102" s="214">
        <v>1562.37</v>
      </c>
      <c r="AC102" s="215">
        <v>0</v>
      </c>
      <c r="AD102" s="215">
        <v>0</v>
      </c>
    </row>
    <row r="103" spans="1:30" ht="24.75" customHeight="1">
      <c r="A103" s="147" t="s">
        <v>384</v>
      </c>
      <c r="B103" s="213" t="s">
        <v>385</v>
      </c>
      <c r="C103" s="220">
        <v>0</v>
      </c>
      <c r="D103" s="220">
        <v>0</v>
      </c>
      <c r="E103" s="221">
        <v>200</v>
      </c>
      <c r="F103" s="221">
        <v>150</v>
      </c>
      <c r="G103" s="220">
        <v>0</v>
      </c>
      <c r="H103" s="220">
        <v>0</v>
      </c>
      <c r="I103" s="221">
        <v>200</v>
      </c>
      <c r="J103" s="221">
        <v>200</v>
      </c>
      <c r="K103" s="220">
        <v>0</v>
      </c>
      <c r="L103" s="220">
        <v>0</v>
      </c>
      <c r="M103" s="221">
        <v>200</v>
      </c>
      <c r="N103" s="221">
        <v>200</v>
      </c>
      <c r="O103" s="220">
        <v>0</v>
      </c>
      <c r="P103" s="220">
        <v>0</v>
      </c>
      <c r="Q103" s="221">
        <v>180</v>
      </c>
      <c r="R103" s="221">
        <v>180</v>
      </c>
      <c r="S103" s="220">
        <v>0</v>
      </c>
      <c r="T103" s="220">
        <v>0</v>
      </c>
      <c r="U103" s="221">
        <v>218</v>
      </c>
      <c r="V103" s="221">
        <v>220</v>
      </c>
      <c r="W103" s="220">
        <v>0</v>
      </c>
      <c r="X103" s="220">
        <v>0</v>
      </c>
      <c r="Y103" s="221">
        <v>200</v>
      </c>
      <c r="Z103" s="221">
        <v>200</v>
      </c>
      <c r="AA103" s="220">
        <v>0</v>
      </c>
      <c r="AB103" s="220">
        <v>0</v>
      </c>
      <c r="AC103" s="221">
        <v>195</v>
      </c>
      <c r="AD103" s="221">
        <v>195</v>
      </c>
    </row>
    <row r="104" spans="1:30" ht="24.75" customHeight="1">
      <c r="A104" s="147" t="s">
        <v>386</v>
      </c>
      <c r="B104" s="213" t="s">
        <v>387</v>
      </c>
      <c r="C104" s="220">
        <v>0</v>
      </c>
      <c r="D104" s="220">
        <v>0</v>
      </c>
      <c r="E104" s="215">
        <v>0</v>
      </c>
      <c r="F104" s="221">
        <v>120</v>
      </c>
      <c r="G104" s="220">
        <v>0</v>
      </c>
      <c r="H104" s="220">
        <v>0</v>
      </c>
      <c r="I104" s="215">
        <v>0</v>
      </c>
      <c r="J104" s="221">
        <v>140</v>
      </c>
      <c r="K104" s="220">
        <v>0</v>
      </c>
      <c r="L104" s="220">
        <v>0</v>
      </c>
      <c r="M104" s="215">
        <v>0</v>
      </c>
      <c r="N104" s="221">
        <v>120</v>
      </c>
      <c r="O104" s="220">
        <v>0</v>
      </c>
      <c r="P104" s="220">
        <v>0</v>
      </c>
      <c r="Q104" s="215">
        <v>0</v>
      </c>
      <c r="R104" s="221">
        <v>180</v>
      </c>
      <c r="S104" s="220">
        <v>0</v>
      </c>
      <c r="T104" s="220">
        <v>0</v>
      </c>
      <c r="U104" s="215">
        <v>0</v>
      </c>
      <c r="V104" s="221">
        <v>123</v>
      </c>
      <c r="W104" s="220">
        <v>0</v>
      </c>
      <c r="X104" s="220">
        <v>0</v>
      </c>
      <c r="Y104" s="215">
        <v>0</v>
      </c>
      <c r="Z104" s="221">
        <v>150</v>
      </c>
      <c r="AA104" s="220">
        <v>0</v>
      </c>
      <c r="AB104" s="220">
        <v>0</v>
      </c>
      <c r="AC104" s="215">
        <v>0</v>
      </c>
      <c r="AD104" s="221">
        <v>237</v>
      </c>
    </row>
    <row r="105" spans="1:30" ht="24.75" customHeight="1">
      <c r="A105" s="147" t="s">
        <v>388</v>
      </c>
      <c r="B105" s="213" t="s">
        <v>389</v>
      </c>
      <c r="C105" s="220">
        <v>0</v>
      </c>
      <c r="D105" s="220">
        <v>0</v>
      </c>
      <c r="E105" s="221">
        <v>200</v>
      </c>
      <c r="F105" s="221">
        <v>160</v>
      </c>
      <c r="G105" s="220">
        <v>0</v>
      </c>
      <c r="H105" s="220">
        <v>0</v>
      </c>
      <c r="I105" s="221">
        <v>300</v>
      </c>
      <c r="J105" s="221">
        <v>300</v>
      </c>
      <c r="K105" s="220">
        <v>0</v>
      </c>
      <c r="L105" s="220">
        <v>0</v>
      </c>
      <c r="M105" s="221">
        <v>200</v>
      </c>
      <c r="N105" s="221">
        <v>220</v>
      </c>
      <c r="O105" s="220">
        <v>0</v>
      </c>
      <c r="P105" s="220">
        <v>0</v>
      </c>
      <c r="Q105" s="221">
        <v>340</v>
      </c>
      <c r="R105" s="221">
        <v>340</v>
      </c>
      <c r="S105" s="220">
        <v>0</v>
      </c>
      <c r="T105" s="220">
        <v>0</v>
      </c>
      <c r="U105" s="221">
        <v>215</v>
      </c>
      <c r="V105" s="221">
        <v>223</v>
      </c>
      <c r="W105" s="220">
        <v>0</v>
      </c>
      <c r="X105" s="220">
        <v>0</v>
      </c>
      <c r="Y105" s="221">
        <v>200</v>
      </c>
      <c r="Z105" s="221">
        <v>216</v>
      </c>
      <c r="AA105" s="220">
        <v>0</v>
      </c>
      <c r="AB105" s="220">
        <v>0</v>
      </c>
      <c r="AC105" s="221">
        <v>195</v>
      </c>
      <c r="AD105" s="221">
        <v>431</v>
      </c>
    </row>
    <row r="106" spans="1:30" ht="24.75" customHeight="1">
      <c r="A106" s="218" t="s">
        <v>110</v>
      </c>
      <c r="B106" s="219" t="s">
        <v>390</v>
      </c>
      <c r="C106" s="227">
        <v>1.94</v>
      </c>
      <c r="D106" s="227">
        <v>0.97</v>
      </c>
      <c r="E106" s="215">
        <v>0</v>
      </c>
      <c r="F106" s="215">
        <v>0</v>
      </c>
      <c r="G106" s="214">
        <v>0.8</v>
      </c>
      <c r="H106" s="214">
        <v>0.8</v>
      </c>
      <c r="I106" s="215">
        <v>0</v>
      </c>
      <c r="J106" s="215">
        <v>0</v>
      </c>
      <c r="K106" s="214">
        <v>6.3</v>
      </c>
      <c r="L106" s="214">
        <v>3.15</v>
      </c>
      <c r="M106" s="215">
        <v>0</v>
      </c>
      <c r="N106" s="215">
        <v>0</v>
      </c>
      <c r="O106" s="214">
        <v>2.64</v>
      </c>
      <c r="P106" s="214">
        <v>1.46</v>
      </c>
      <c r="Q106" s="215">
        <v>0</v>
      </c>
      <c r="R106" s="215">
        <v>0</v>
      </c>
      <c r="S106" s="214">
        <v>7.3</v>
      </c>
      <c r="T106" s="214">
        <v>3.78</v>
      </c>
      <c r="U106" s="215">
        <v>0</v>
      </c>
      <c r="V106" s="215">
        <v>0</v>
      </c>
      <c r="W106" s="214">
        <v>16.92</v>
      </c>
      <c r="X106" s="214">
        <v>8.46</v>
      </c>
      <c r="Y106" s="215">
        <v>0</v>
      </c>
      <c r="Z106" s="215">
        <v>0</v>
      </c>
      <c r="AA106" s="214">
        <v>3.73</v>
      </c>
      <c r="AB106" s="214">
        <v>1.87</v>
      </c>
      <c r="AC106" s="215">
        <v>0</v>
      </c>
      <c r="AD106" s="215">
        <v>0</v>
      </c>
    </row>
    <row r="107" spans="1:30" s="228" customFormat="1" ht="24.75" customHeight="1">
      <c r="A107" s="218" t="s">
        <v>111</v>
      </c>
      <c r="B107" s="219" t="s">
        <v>391</v>
      </c>
      <c r="C107" s="227">
        <v>0.24</v>
      </c>
      <c r="D107" s="227">
        <v>0.12</v>
      </c>
      <c r="E107" s="215">
        <v>0</v>
      </c>
      <c r="F107" s="215">
        <v>0</v>
      </c>
      <c r="G107" s="214">
        <v>1.02</v>
      </c>
      <c r="H107" s="214">
        <v>1.02</v>
      </c>
      <c r="I107" s="215">
        <v>0</v>
      </c>
      <c r="J107" s="215">
        <v>0</v>
      </c>
      <c r="K107" s="214">
        <v>4.86</v>
      </c>
      <c r="L107" s="214">
        <v>2.43</v>
      </c>
      <c r="M107" s="215">
        <v>0</v>
      </c>
      <c r="N107" s="215">
        <v>0</v>
      </c>
      <c r="O107" s="214">
        <v>1.44</v>
      </c>
      <c r="P107" s="214">
        <v>0.8</v>
      </c>
      <c r="Q107" s="215">
        <v>0</v>
      </c>
      <c r="R107" s="215">
        <v>0</v>
      </c>
      <c r="S107" s="214">
        <v>6.42</v>
      </c>
      <c r="T107" s="214">
        <v>3.22</v>
      </c>
      <c r="U107" s="215">
        <v>0</v>
      </c>
      <c r="V107" s="215">
        <v>0</v>
      </c>
      <c r="W107" s="214">
        <v>9.24</v>
      </c>
      <c r="X107" s="214">
        <v>4.62</v>
      </c>
      <c r="Y107" s="215">
        <v>0</v>
      </c>
      <c r="Z107" s="215">
        <v>0</v>
      </c>
      <c r="AA107" s="214">
        <v>2.49</v>
      </c>
      <c r="AB107" s="214">
        <v>1.25</v>
      </c>
      <c r="AC107" s="215">
        <v>0</v>
      </c>
      <c r="AD107" s="215">
        <v>0</v>
      </c>
    </row>
    <row r="108" spans="1:30" s="228" customFormat="1" ht="24.75" customHeight="1">
      <c r="A108" s="218" t="s">
        <v>112</v>
      </c>
      <c r="B108" s="219" t="s">
        <v>392</v>
      </c>
      <c r="C108" s="227">
        <v>0.42</v>
      </c>
      <c r="D108" s="227">
        <v>0.21</v>
      </c>
      <c r="E108" s="215">
        <v>0</v>
      </c>
      <c r="F108" s="215">
        <v>0</v>
      </c>
      <c r="G108" s="214">
        <v>0.66</v>
      </c>
      <c r="H108" s="214">
        <v>0.66</v>
      </c>
      <c r="I108" s="215">
        <v>0</v>
      </c>
      <c r="J108" s="215">
        <v>0</v>
      </c>
      <c r="K108" s="214">
        <v>3.82</v>
      </c>
      <c r="L108" s="214">
        <v>1.91</v>
      </c>
      <c r="M108" s="215">
        <v>0</v>
      </c>
      <c r="N108" s="215">
        <v>0</v>
      </c>
      <c r="O108" s="214">
        <v>1.32</v>
      </c>
      <c r="P108" s="214">
        <v>0.73</v>
      </c>
      <c r="Q108" s="215">
        <v>0</v>
      </c>
      <c r="R108" s="215">
        <v>0</v>
      </c>
      <c r="S108" s="214">
        <v>5.29</v>
      </c>
      <c r="T108" s="214">
        <v>2.67</v>
      </c>
      <c r="U108" s="215">
        <v>0</v>
      </c>
      <c r="V108" s="215">
        <v>0</v>
      </c>
      <c r="W108" s="214">
        <v>7.4</v>
      </c>
      <c r="X108" s="214">
        <v>3.7</v>
      </c>
      <c r="Y108" s="215">
        <v>0</v>
      </c>
      <c r="Z108" s="215">
        <v>0</v>
      </c>
      <c r="AA108" s="214">
        <v>3.4</v>
      </c>
      <c r="AB108" s="214">
        <v>1.7</v>
      </c>
      <c r="AC108" s="215">
        <v>0</v>
      </c>
      <c r="AD108" s="215">
        <v>0</v>
      </c>
    </row>
    <row r="109" spans="1:30" s="228" customFormat="1" ht="24.75" customHeight="1">
      <c r="A109" s="218" t="s">
        <v>113</v>
      </c>
      <c r="B109" s="219" t="s">
        <v>393</v>
      </c>
      <c r="C109" s="227">
        <v>0.36</v>
      </c>
      <c r="D109" s="227">
        <v>0.18</v>
      </c>
      <c r="E109" s="215">
        <v>0</v>
      </c>
      <c r="F109" s="215">
        <v>0</v>
      </c>
      <c r="G109" s="214">
        <v>0.49</v>
      </c>
      <c r="H109" s="214">
        <v>0.49</v>
      </c>
      <c r="I109" s="215">
        <v>0</v>
      </c>
      <c r="J109" s="215">
        <v>0</v>
      </c>
      <c r="K109" s="214">
        <v>4.36</v>
      </c>
      <c r="L109" s="214">
        <v>2.18</v>
      </c>
      <c r="M109" s="215">
        <v>0</v>
      </c>
      <c r="N109" s="215">
        <v>0</v>
      </c>
      <c r="O109" s="214">
        <v>0.78</v>
      </c>
      <c r="P109" s="214">
        <v>0.43</v>
      </c>
      <c r="Q109" s="215">
        <v>0</v>
      </c>
      <c r="R109" s="215">
        <v>0</v>
      </c>
      <c r="S109" s="214">
        <v>3.92</v>
      </c>
      <c r="T109" s="214">
        <v>2.37</v>
      </c>
      <c r="U109" s="215">
        <v>0</v>
      </c>
      <c r="V109" s="215">
        <v>0</v>
      </c>
      <c r="W109" s="214">
        <v>6.06</v>
      </c>
      <c r="X109" s="214">
        <v>3.03</v>
      </c>
      <c r="Y109" s="215">
        <v>0</v>
      </c>
      <c r="Z109" s="215">
        <v>0</v>
      </c>
      <c r="AA109" s="214">
        <v>1.96</v>
      </c>
      <c r="AB109" s="214">
        <v>0.98</v>
      </c>
      <c r="AC109" s="215">
        <v>0</v>
      </c>
      <c r="AD109" s="215">
        <v>0</v>
      </c>
    </row>
    <row r="110" spans="1:30" s="228" customFormat="1" ht="24.75" customHeight="1">
      <c r="A110" s="218" t="s">
        <v>116</v>
      </c>
      <c r="B110" s="219" t="s">
        <v>394</v>
      </c>
      <c r="C110" s="227">
        <v>6.84</v>
      </c>
      <c r="D110" s="227">
        <v>3.42</v>
      </c>
      <c r="E110" s="215">
        <v>0</v>
      </c>
      <c r="F110" s="215">
        <v>0</v>
      </c>
      <c r="G110" s="214">
        <v>3.06</v>
      </c>
      <c r="H110" s="214">
        <v>3.06</v>
      </c>
      <c r="I110" s="215">
        <v>0</v>
      </c>
      <c r="J110" s="215">
        <v>0</v>
      </c>
      <c r="K110" s="214">
        <v>17.16</v>
      </c>
      <c r="L110" s="214">
        <v>8.58</v>
      </c>
      <c r="M110" s="215">
        <v>0</v>
      </c>
      <c r="N110" s="215">
        <v>0</v>
      </c>
      <c r="O110" s="214">
        <v>10</v>
      </c>
      <c r="P110" s="214">
        <v>5.5</v>
      </c>
      <c r="Q110" s="215">
        <v>0</v>
      </c>
      <c r="R110" s="215">
        <v>0</v>
      </c>
      <c r="S110" s="214">
        <v>7.95</v>
      </c>
      <c r="T110" s="214">
        <v>4.96</v>
      </c>
      <c r="U110" s="215">
        <v>0</v>
      </c>
      <c r="V110" s="215">
        <v>0</v>
      </c>
      <c r="W110" s="214">
        <v>2</v>
      </c>
      <c r="X110" s="214">
        <v>1</v>
      </c>
      <c r="Y110" s="215">
        <v>0</v>
      </c>
      <c r="Z110" s="215">
        <v>0</v>
      </c>
      <c r="AA110" s="214">
        <v>5.6</v>
      </c>
      <c r="AB110" s="214">
        <v>2.8</v>
      </c>
      <c r="AC110" s="215">
        <v>0</v>
      </c>
      <c r="AD110" s="215">
        <v>0</v>
      </c>
    </row>
    <row r="111" spans="1:30" s="228" customFormat="1" ht="24.75" customHeight="1">
      <c r="A111" s="218" t="s">
        <v>117</v>
      </c>
      <c r="B111" s="219" t="s">
        <v>395</v>
      </c>
      <c r="C111" s="227">
        <v>6.32</v>
      </c>
      <c r="D111" s="227">
        <v>3.16</v>
      </c>
      <c r="E111" s="215">
        <v>0</v>
      </c>
      <c r="F111" s="215">
        <v>0</v>
      </c>
      <c r="G111" s="214">
        <v>2.03</v>
      </c>
      <c r="H111" s="214">
        <v>2.03</v>
      </c>
      <c r="I111" s="215">
        <v>0</v>
      </c>
      <c r="J111" s="215">
        <v>0</v>
      </c>
      <c r="K111" s="214">
        <v>17.16</v>
      </c>
      <c r="L111" s="214">
        <v>8.58</v>
      </c>
      <c r="M111" s="215">
        <v>0</v>
      </c>
      <c r="N111" s="215">
        <v>0</v>
      </c>
      <c r="O111" s="214">
        <v>9</v>
      </c>
      <c r="P111" s="214">
        <v>4.95</v>
      </c>
      <c r="Q111" s="215">
        <v>0</v>
      </c>
      <c r="R111" s="215">
        <v>0</v>
      </c>
      <c r="S111" s="214">
        <v>7.95</v>
      </c>
      <c r="T111" s="214">
        <v>4.42</v>
      </c>
      <c r="U111" s="215">
        <v>0</v>
      </c>
      <c r="V111" s="215">
        <v>0</v>
      </c>
      <c r="W111" s="214">
        <v>1.24</v>
      </c>
      <c r="X111" s="214">
        <v>0.62</v>
      </c>
      <c r="Y111" s="215">
        <v>0</v>
      </c>
      <c r="Z111" s="215">
        <v>0</v>
      </c>
      <c r="AA111" s="214">
        <v>1.29</v>
      </c>
      <c r="AB111" s="214">
        <v>0.65</v>
      </c>
      <c r="AC111" s="215">
        <v>0</v>
      </c>
      <c r="AD111" s="215">
        <v>0</v>
      </c>
    </row>
    <row r="112" spans="1:30" s="228" customFormat="1" ht="24.75" customHeight="1">
      <c r="A112" s="218" t="s">
        <v>118</v>
      </c>
      <c r="B112" s="219" t="s">
        <v>396</v>
      </c>
      <c r="C112" s="227">
        <v>3.54</v>
      </c>
      <c r="D112" s="227">
        <v>1.77</v>
      </c>
      <c r="E112" s="215">
        <v>0</v>
      </c>
      <c r="F112" s="215">
        <v>0</v>
      </c>
      <c r="G112" s="214">
        <v>1.57</v>
      </c>
      <c r="H112" s="214">
        <v>1.57</v>
      </c>
      <c r="I112" s="215">
        <v>0</v>
      </c>
      <c r="J112" s="215">
        <v>0</v>
      </c>
      <c r="K112" s="214">
        <v>17.16</v>
      </c>
      <c r="L112" s="214">
        <v>8.58</v>
      </c>
      <c r="M112" s="215">
        <v>0</v>
      </c>
      <c r="N112" s="215">
        <v>0</v>
      </c>
      <c r="O112" s="214">
        <v>8</v>
      </c>
      <c r="P112" s="214">
        <v>4.4</v>
      </c>
      <c r="Q112" s="215">
        <v>0</v>
      </c>
      <c r="R112" s="215">
        <v>0</v>
      </c>
      <c r="S112" s="214">
        <v>4.11</v>
      </c>
      <c r="T112" s="214">
        <v>2.14</v>
      </c>
      <c r="U112" s="215">
        <v>0</v>
      </c>
      <c r="V112" s="215">
        <v>0</v>
      </c>
      <c r="W112" s="214">
        <v>0.72</v>
      </c>
      <c r="X112" s="214">
        <v>0.36</v>
      </c>
      <c r="Y112" s="215">
        <v>0</v>
      </c>
      <c r="Z112" s="215">
        <v>0</v>
      </c>
      <c r="AA112" s="214">
        <v>0.56</v>
      </c>
      <c r="AB112" s="214">
        <v>0.28</v>
      </c>
      <c r="AC112" s="215">
        <v>0</v>
      </c>
      <c r="AD112" s="215">
        <v>0</v>
      </c>
    </row>
    <row r="113" spans="1:30" s="228" customFormat="1" ht="24.75" customHeight="1">
      <c r="A113" s="218" t="s">
        <v>119</v>
      </c>
      <c r="B113" s="219" t="s">
        <v>397</v>
      </c>
      <c r="C113" s="227">
        <v>3.54</v>
      </c>
      <c r="D113" s="227">
        <v>1.77</v>
      </c>
      <c r="E113" s="215">
        <v>0</v>
      </c>
      <c r="F113" s="215">
        <v>0</v>
      </c>
      <c r="G113" s="214">
        <v>1.16</v>
      </c>
      <c r="H113" s="214">
        <v>1.16</v>
      </c>
      <c r="I113" s="215">
        <v>0</v>
      </c>
      <c r="J113" s="215">
        <v>0</v>
      </c>
      <c r="K113" s="214">
        <v>17.16</v>
      </c>
      <c r="L113" s="214">
        <v>8.58</v>
      </c>
      <c r="M113" s="215">
        <v>0</v>
      </c>
      <c r="N113" s="215">
        <v>0</v>
      </c>
      <c r="O113" s="214">
        <v>7</v>
      </c>
      <c r="P113" s="214">
        <v>3.85</v>
      </c>
      <c r="Q113" s="215">
        <v>0</v>
      </c>
      <c r="R113" s="215">
        <v>0</v>
      </c>
      <c r="S113" s="214">
        <v>3.63</v>
      </c>
      <c r="T113" s="214">
        <v>1.83</v>
      </c>
      <c r="U113" s="215">
        <v>0</v>
      </c>
      <c r="V113" s="215">
        <v>0</v>
      </c>
      <c r="W113" s="214">
        <v>0.36</v>
      </c>
      <c r="X113" s="214">
        <v>0.18</v>
      </c>
      <c r="Y113" s="215">
        <v>0</v>
      </c>
      <c r="Z113" s="215">
        <v>0</v>
      </c>
      <c r="AA113" s="214">
        <v>0.62</v>
      </c>
      <c r="AB113" s="214">
        <v>0.31</v>
      </c>
      <c r="AC113" s="215">
        <v>0</v>
      </c>
      <c r="AD113" s="215">
        <v>0</v>
      </c>
    </row>
    <row r="114" spans="1:30" s="228" customFormat="1" ht="24.75" customHeight="1">
      <c r="A114" s="218" t="s">
        <v>120</v>
      </c>
      <c r="B114" s="219" t="s">
        <v>398</v>
      </c>
      <c r="C114" s="227">
        <v>4.18</v>
      </c>
      <c r="D114" s="227">
        <v>2.09</v>
      </c>
      <c r="E114" s="215">
        <v>0</v>
      </c>
      <c r="F114" s="215">
        <v>0</v>
      </c>
      <c r="G114" s="214">
        <v>3.08</v>
      </c>
      <c r="H114" s="214">
        <v>3.08</v>
      </c>
      <c r="I114" s="215">
        <v>0</v>
      </c>
      <c r="J114" s="215">
        <v>0</v>
      </c>
      <c r="K114" s="214">
        <v>20.72</v>
      </c>
      <c r="L114" s="214">
        <v>10.36</v>
      </c>
      <c r="M114" s="215">
        <v>0</v>
      </c>
      <c r="N114" s="215">
        <v>0</v>
      </c>
      <c r="O114" s="214">
        <v>10</v>
      </c>
      <c r="P114" s="214">
        <v>5.5</v>
      </c>
      <c r="Q114" s="215">
        <v>0</v>
      </c>
      <c r="R114" s="215">
        <v>0</v>
      </c>
      <c r="S114" s="214">
        <v>13.72</v>
      </c>
      <c r="T114" s="214">
        <v>7.77</v>
      </c>
      <c r="U114" s="215">
        <v>0</v>
      </c>
      <c r="V114" s="215">
        <v>0</v>
      </c>
      <c r="W114" s="214">
        <v>2.22</v>
      </c>
      <c r="X114" s="214">
        <v>1.11</v>
      </c>
      <c r="Y114" s="215">
        <v>0</v>
      </c>
      <c r="Z114" s="215">
        <v>0</v>
      </c>
      <c r="AA114" s="214">
        <v>5.6</v>
      </c>
      <c r="AB114" s="214">
        <v>2.8</v>
      </c>
      <c r="AC114" s="215">
        <v>0</v>
      </c>
      <c r="AD114" s="215">
        <v>0</v>
      </c>
    </row>
    <row r="115" spans="1:30" s="228" customFormat="1" ht="24.75" customHeight="1">
      <c r="A115" s="218" t="s">
        <v>121</v>
      </c>
      <c r="B115" s="219" t="s">
        <v>399</v>
      </c>
      <c r="C115" s="227">
        <v>5.72</v>
      </c>
      <c r="D115" s="227">
        <v>2.86</v>
      </c>
      <c r="E115" s="215">
        <v>0</v>
      </c>
      <c r="F115" s="215">
        <v>0</v>
      </c>
      <c r="G115" s="214">
        <v>2.73</v>
      </c>
      <c r="H115" s="214">
        <v>2.73</v>
      </c>
      <c r="I115" s="215">
        <v>0</v>
      </c>
      <c r="J115" s="215">
        <v>0</v>
      </c>
      <c r="K115" s="214">
        <v>13.1</v>
      </c>
      <c r="L115" s="214">
        <v>6.55</v>
      </c>
      <c r="M115" s="215">
        <v>0</v>
      </c>
      <c r="N115" s="215">
        <v>0</v>
      </c>
      <c r="O115" s="214">
        <v>9</v>
      </c>
      <c r="P115" s="214">
        <v>4.95</v>
      </c>
      <c r="Q115" s="215">
        <v>0</v>
      </c>
      <c r="R115" s="215">
        <v>0</v>
      </c>
      <c r="S115" s="214">
        <v>12.51</v>
      </c>
      <c r="T115" s="214">
        <v>6.63</v>
      </c>
      <c r="U115" s="215">
        <v>0</v>
      </c>
      <c r="V115" s="215">
        <v>0</v>
      </c>
      <c r="W115" s="214">
        <v>0.68</v>
      </c>
      <c r="X115" s="214">
        <v>0.34</v>
      </c>
      <c r="Y115" s="215">
        <v>0</v>
      </c>
      <c r="Z115" s="215">
        <v>0</v>
      </c>
      <c r="AA115" s="214">
        <v>1.29</v>
      </c>
      <c r="AB115" s="214">
        <v>0.65</v>
      </c>
      <c r="AC115" s="215">
        <v>0</v>
      </c>
      <c r="AD115" s="215">
        <v>0</v>
      </c>
    </row>
    <row r="116" spans="1:30" s="228" customFormat="1" ht="24.75" customHeight="1">
      <c r="A116" s="218" t="s">
        <v>122</v>
      </c>
      <c r="B116" s="219" t="s">
        <v>400</v>
      </c>
      <c r="C116" s="227">
        <v>1.54</v>
      </c>
      <c r="D116" s="227">
        <v>0.77</v>
      </c>
      <c r="E116" s="215">
        <v>0</v>
      </c>
      <c r="F116" s="215">
        <v>0</v>
      </c>
      <c r="G116" s="214">
        <v>1.97</v>
      </c>
      <c r="H116" s="214">
        <v>1.97</v>
      </c>
      <c r="I116" s="215">
        <v>0</v>
      </c>
      <c r="J116" s="215">
        <v>0</v>
      </c>
      <c r="K116" s="214">
        <v>5.52</v>
      </c>
      <c r="L116" s="214">
        <v>2.76</v>
      </c>
      <c r="M116" s="215">
        <v>0</v>
      </c>
      <c r="N116" s="215">
        <v>0</v>
      </c>
      <c r="O116" s="214">
        <v>8</v>
      </c>
      <c r="P116" s="214">
        <v>4.4</v>
      </c>
      <c r="Q116" s="215">
        <v>0</v>
      </c>
      <c r="R116" s="215">
        <v>0</v>
      </c>
      <c r="S116" s="214">
        <v>7.25</v>
      </c>
      <c r="T116" s="214">
        <v>3.67</v>
      </c>
      <c r="U116" s="215">
        <v>0</v>
      </c>
      <c r="V116" s="215">
        <v>0</v>
      </c>
      <c r="W116" s="214">
        <v>0.56</v>
      </c>
      <c r="X116" s="214">
        <v>0.28</v>
      </c>
      <c r="Y116" s="215">
        <v>0</v>
      </c>
      <c r="Z116" s="215">
        <v>0</v>
      </c>
      <c r="AA116" s="214">
        <v>0.56</v>
      </c>
      <c r="AB116" s="214">
        <v>0.28</v>
      </c>
      <c r="AC116" s="215">
        <v>0</v>
      </c>
      <c r="AD116" s="215">
        <v>0</v>
      </c>
    </row>
    <row r="117" spans="1:30" s="228" customFormat="1" ht="24.75" customHeight="1">
      <c r="A117" s="218" t="s">
        <v>123</v>
      </c>
      <c r="B117" s="219" t="s">
        <v>401</v>
      </c>
      <c r="C117" s="227">
        <v>1.54</v>
      </c>
      <c r="D117" s="227">
        <v>0.77</v>
      </c>
      <c r="E117" s="215">
        <v>0</v>
      </c>
      <c r="F117" s="215">
        <v>0</v>
      </c>
      <c r="G117" s="214">
        <v>1.59</v>
      </c>
      <c r="H117" s="214">
        <v>1.59</v>
      </c>
      <c r="I117" s="215">
        <v>0</v>
      </c>
      <c r="J117" s="215">
        <v>0</v>
      </c>
      <c r="K117" s="214">
        <v>6.16</v>
      </c>
      <c r="L117" s="214">
        <v>3.08</v>
      </c>
      <c r="M117" s="215">
        <v>0</v>
      </c>
      <c r="N117" s="215">
        <v>0</v>
      </c>
      <c r="O117" s="214">
        <v>7</v>
      </c>
      <c r="P117" s="214">
        <v>3.85</v>
      </c>
      <c r="Q117" s="215">
        <v>0</v>
      </c>
      <c r="R117" s="215">
        <v>0</v>
      </c>
      <c r="S117" s="214">
        <v>5.29</v>
      </c>
      <c r="T117" s="214">
        <v>3.29</v>
      </c>
      <c r="U117" s="215">
        <v>0</v>
      </c>
      <c r="V117" s="215">
        <v>0</v>
      </c>
      <c r="W117" s="214">
        <v>0.34</v>
      </c>
      <c r="X117" s="214">
        <v>0.17</v>
      </c>
      <c r="Y117" s="215">
        <v>0</v>
      </c>
      <c r="Z117" s="215">
        <v>0</v>
      </c>
      <c r="AA117" s="214">
        <v>0.62</v>
      </c>
      <c r="AB117" s="214">
        <v>0.31</v>
      </c>
      <c r="AC117" s="215">
        <v>0</v>
      </c>
      <c r="AD117" s="215">
        <v>0</v>
      </c>
    </row>
    <row r="118" spans="1:30" s="228" customFormat="1" ht="24.75" customHeight="1">
      <c r="A118" s="229" t="s">
        <v>124</v>
      </c>
      <c r="B118" s="230" t="s">
        <v>402</v>
      </c>
      <c r="C118" s="227">
        <v>2.24</v>
      </c>
      <c r="D118" s="227">
        <v>1.12</v>
      </c>
      <c r="E118" s="215">
        <v>0</v>
      </c>
      <c r="F118" s="215">
        <v>0</v>
      </c>
      <c r="G118" s="214">
        <v>1.2</v>
      </c>
      <c r="H118" s="214">
        <v>1.2</v>
      </c>
      <c r="I118" s="215">
        <v>0</v>
      </c>
      <c r="J118" s="215">
        <v>0</v>
      </c>
      <c r="K118" s="214">
        <v>4.7</v>
      </c>
      <c r="L118" s="214">
        <v>2.35</v>
      </c>
      <c r="M118" s="215">
        <v>0</v>
      </c>
      <c r="N118" s="215">
        <v>0</v>
      </c>
      <c r="O118" s="214">
        <v>2.42</v>
      </c>
      <c r="P118" s="214">
        <v>1.34</v>
      </c>
      <c r="Q118" s="215">
        <v>0</v>
      </c>
      <c r="R118" s="215">
        <v>0</v>
      </c>
      <c r="S118" s="214">
        <v>5.99</v>
      </c>
      <c r="T118" s="214">
        <v>3.15</v>
      </c>
      <c r="U118" s="215">
        <v>0</v>
      </c>
      <c r="V118" s="215">
        <v>0</v>
      </c>
      <c r="W118" s="214">
        <v>28.28</v>
      </c>
      <c r="X118" s="214">
        <v>14.14</v>
      </c>
      <c r="Y118" s="215">
        <v>0</v>
      </c>
      <c r="Z118" s="215">
        <v>0</v>
      </c>
      <c r="AA118" s="214">
        <v>3.73</v>
      </c>
      <c r="AB118" s="214">
        <v>1.87</v>
      </c>
      <c r="AC118" s="215">
        <v>0</v>
      </c>
      <c r="AD118" s="215">
        <v>0</v>
      </c>
    </row>
    <row r="119" spans="1:30" s="228" customFormat="1" ht="24.75" customHeight="1">
      <c r="A119" s="229" t="s">
        <v>125</v>
      </c>
      <c r="B119" s="230" t="s">
        <v>403</v>
      </c>
      <c r="C119" s="227">
        <v>1.54</v>
      </c>
      <c r="D119" s="227">
        <v>0.77</v>
      </c>
      <c r="E119" s="215">
        <v>0</v>
      </c>
      <c r="F119" s="215">
        <v>0</v>
      </c>
      <c r="G119" s="214">
        <v>1.49</v>
      </c>
      <c r="H119" s="214">
        <v>1.49</v>
      </c>
      <c r="I119" s="215">
        <v>0</v>
      </c>
      <c r="J119" s="215">
        <v>0</v>
      </c>
      <c r="K119" s="214">
        <v>2.96</v>
      </c>
      <c r="L119" s="214">
        <v>1.48</v>
      </c>
      <c r="M119" s="215">
        <v>0</v>
      </c>
      <c r="N119" s="215">
        <v>0</v>
      </c>
      <c r="O119" s="214">
        <v>1.22</v>
      </c>
      <c r="P119" s="214">
        <v>0.68</v>
      </c>
      <c r="Q119" s="215">
        <v>0</v>
      </c>
      <c r="R119" s="215">
        <v>0</v>
      </c>
      <c r="S119" s="214">
        <v>5.23</v>
      </c>
      <c r="T119" s="214">
        <v>2.75</v>
      </c>
      <c r="U119" s="215">
        <v>0</v>
      </c>
      <c r="V119" s="215">
        <v>0</v>
      </c>
      <c r="W119" s="214">
        <v>15</v>
      </c>
      <c r="X119" s="214">
        <v>7.5</v>
      </c>
      <c r="Y119" s="215">
        <v>0</v>
      </c>
      <c r="Z119" s="215">
        <v>0</v>
      </c>
      <c r="AA119" s="214">
        <v>2.49</v>
      </c>
      <c r="AB119" s="214">
        <v>1.25</v>
      </c>
      <c r="AC119" s="215">
        <v>0</v>
      </c>
      <c r="AD119" s="215">
        <v>0</v>
      </c>
    </row>
    <row r="120" spans="1:30" s="228" customFormat="1" ht="24.75" customHeight="1">
      <c r="A120" s="229" t="s">
        <v>126</v>
      </c>
      <c r="B120" s="230" t="s">
        <v>404</v>
      </c>
      <c r="C120" s="227">
        <v>2.6</v>
      </c>
      <c r="D120" s="227">
        <v>1.3</v>
      </c>
      <c r="E120" s="215">
        <v>0</v>
      </c>
      <c r="F120" s="215">
        <v>0</v>
      </c>
      <c r="G120" s="214">
        <v>1.02</v>
      </c>
      <c r="H120" s="214">
        <v>1.02</v>
      </c>
      <c r="I120" s="215">
        <v>0</v>
      </c>
      <c r="J120" s="215">
        <v>0</v>
      </c>
      <c r="K120" s="214">
        <v>1.54</v>
      </c>
      <c r="L120" s="214">
        <v>0.77</v>
      </c>
      <c r="M120" s="215">
        <v>0</v>
      </c>
      <c r="N120" s="215">
        <v>0</v>
      </c>
      <c r="O120" s="214">
        <v>1.1</v>
      </c>
      <c r="P120" s="214">
        <v>0.61</v>
      </c>
      <c r="Q120" s="215">
        <v>0</v>
      </c>
      <c r="R120" s="215">
        <v>0</v>
      </c>
      <c r="S120" s="214">
        <v>4.34</v>
      </c>
      <c r="T120" s="214">
        <v>2.28</v>
      </c>
      <c r="U120" s="215">
        <v>0</v>
      </c>
      <c r="V120" s="215">
        <v>0</v>
      </c>
      <c r="W120" s="214">
        <v>12.14</v>
      </c>
      <c r="X120" s="214">
        <v>6.07</v>
      </c>
      <c r="Y120" s="215">
        <v>0</v>
      </c>
      <c r="Z120" s="215">
        <v>0</v>
      </c>
      <c r="AA120" s="214">
        <v>3.4</v>
      </c>
      <c r="AB120" s="214">
        <v>1.7</v>
      </c>
      <c r="AC120" s="215">
        <v>0</v>
      </c>
      <c r="AD120" s="215">
        <v>0</v>
      </c>
    </row>
    <row r="121" spans="1:30" s="228" customFormat="1" ht="24.75" customHeight="1">
      <c r="A121" s="229" t="s">
        <v>127</v>
      </c>
      <c r="B121" s="230" t="s">
        <v>405</v>
      </c>
      <c r="C121" s="227">
        <v>2.36</v>
      </c>
      <c r="D121" s="227">
        <v>1.18</v>
      </c>
      <c r="E121" s="215">
        <v>0</v>
      </c>
      <c r="F121" s="215">
        <v>0</v>
      </c>
      <c r="G121" s="214">
        <v>0.37</v>
      </c>
      <c r="H121" s="214">
        <v>0.37</v>
      </c>
      <c r="I121" s="215">
        <v>0</v>
      </c>
      <c r="J121" s="215">
        <v>0</v>
      </c>
      <c r="K121" s="214">
        <v>1.5</v>
      </c>
      <c r="L121" s="214">
        <v>0.75</v>
      </c>
      <c r="M121" s="215">
        <v>0</v>
      </c>
      <c r="N121" s="215">
        <v>0</v>
      </c>
      <c r="O121" s="214">
        <v>0.56</v>
      </c>
      <c r="P121" s="214">
        <v>0.31</v>
      </c>
      <c r="Q121" s="215">
        <v>0</v>
      </c>
      <c r="R121" s="215">
        <v>0</v>
      </c>
      <c r="S121" s="214">
        <v>3.77</v>
      </c>
      <c r="T121" s="214">
        <v>1.9</v>
      </c>
      <c r="U121" s="215">
        <v>0</v>
      </c>
      <c r="V121" s="215">
        <v>0</v>
      </c>
      <c r="W121" s="214">
        <v>10.14</v>
      </c>
      <c r="X121" s="214">
        <v>5.07</v>
      </c>
      <c r="Y121" s="215">
        <v>0</v>
      </c>
      <c r="Z121" s="215">
        <v>0</v>
      </c>
      <c r="AA121" s="214">
        <v>1.96</v>
      </c>
      <c r="AB121" s="214">
        <v>0.98</v>
      </c>
      <c r="AC121" s="215">
        <v>0</v>
      </c>
      <c r="AD121" s="215">
        <v>0</v>
      </c>
    </row>
    <row r="122" spans="1:30" s="228" customFormat="1" ht="24.75" customHeight="1">
      <c r="A122" s="218" t="s">
        <v>128</v>
      </c>
      <c r="B122" s="219" t="s">
        <v>406</v>
      </c>
      <c r="C122" s="227">
        <v>2.12</v>
      </c>
      <c r="D122" s="227">
        <v>1.06</v>
      </c>
      <c r="E122" s="215">
        <v>0</v>
      </c>
      <c r="F122" s="215">
        <v>0</v>
      </c>
      <c r="G122" s="214">
        <v>0.84</v>
      </c>
      <c r="H122" s="214">
        <v>0.84</v>
      </c>
      <c r="I122" s="215">
        <v>0</v>
      </c>
      <c r="J122" s="215">
        <v>0</v>
      </c>
      <c r="K122" s="214">
        <v>8.22</v>
      </c>
      <c r="L122" s="214">
        <v>4.11</v>
      </c>
      <c r="M122" s="215">
        <v>0</v>
      </c>
      <c r="N122" s="215">
        <v>0</v>
      </c>
      <c r="O122" s="214">
        <v>3</v>
      </c>
      <c r="P122" s="214">
        <v>1.65</v>
      </c>
      <c r="Q122" s="215">
        <v>0</v>
      </c>
      <c r="R122" s="215">
        <v>0</v>
      </c>
      <c r="S122" s="214">
        <v>3.03</v>
      </c>
      <c r="T122" s="214">
        <v>1.52</v>
      </c>
      <c r="U122" s="215">
        <v>0</v>
      </c>
      <c r="V122" s="215">
        <v>0</v>
      </c>
      <c r="W122" s="214">
        <v>34.16</v>
      </c>
      <c r="X122" s="214">
        <v>17.08</v>
      </c>
      <c r="Y122" s="215">
        <v>0</v>
      </c>
      <c r="Z122" s="215">
        <v>0</v>
      </c>
      <c r="AA122" s="214">
        <v>0.64</v>
      </c>
      <c r="AB122" s="214">
        <v>0.32</v>
      </c>
      <c r="AC122" s="215">
        <v>0</v>
      </c>
      <c r="AD122" s="215">
        <v>0</v>
      </c>
    </row>
    <row r="123" spans="1:30" s="228" customFormat="1" ht="24.75" customHeight="1">
      <c r="A123" s="218" t="s">
        <v>129</v>
      </c>
      <c r="B123" s="219" t="s">
        <v>407</v>
      </c>
      <c r="C123" s="227">
        <v>0.7</v>
      </c>
      <c r="D123" s="227">
        <v>0.35</v>
      </c>
      <c r="E123" s="215">
        <v>0</v>
      </c>
      <c r="F123" s="215">
        <v>0</v>
      </c>
      <c r="G123" s="214">
        <v>1.67</v>
      </c>
      <c r="H123" s="214">
        <v>1.67</v>
      </c>
      <c r="I123" s="215">
        <v>0</v>
      </c>
      <c r="J123" s="215">
        <v>0</v>
      </c>
      <c r="K123" s="214">
        <v>6.52</v>
      </c>
      <c r="L123" s="214">
        <v>3.26</v>
      </c>
      <c r="M123" s="215">
        <v>0</v>
      </c>
      <c r="N123" s="215">
        <v>0</v>
      </c>
      <c r="O123" s="214">
        <v>3.22</v>
      </c>
      <c r="P123" s="214">
        <v>1.78</v>
      </c>
      <c r="Q123" s="215">
        <v>0</v>
      </c>
      <c r="R123" s="215">
        <v>0</v>
      </c>
      <c r="S123" s="214">
        <v>4.84</v>
      </c>
      <c r="T123" s="214">
        <v>2.42</v>
      </c>
      <c r="U123" s="215">
        <v>0</v>
      </c>
      <c r="V123" s="215">
        <v>0</v>
      </c>
      <c r="W123" s="214">
        <v>3.62</v>
      </c>
      <c r="X123" s="214">
        <v>1.81</v>
      </c>
      <c r="Y123" s="215">
        <v>0</v>
      </c>
      <c r="Z123" s="215">
        <v>0</v>
      </c>
      <c r="AA123" s="214">
        <v>3</v>
      </c>
      <c r="AB123" s="214">
        <v>1.5</v>
      </c>
      <c r="AC123" s="215">
        <v>0</v>
      </c>
      <c r="AD123" s="215">
        <v>0</v>
      </c>
    </row>
    <row r="124" spans="1:30" s="228" customFormat="1" ht="24.75" customHeight="1">
      <c r="A124" s="218" t="s">
        <v>130</v>
      </c>
      <c r="B124" s="219" t="s">
        <v>408</v>
      </c>
      <c r="C124" s="227">
        <v>1.12</v>
      </c>
      <c r="D124" s="227">
        <v>0.56</v>
      </c>
      <c r="E124" s="215">
        <v>0</v>
      </c>
      <c r="F124" s="215">
        <v>0</v>
      </c>
      <c r="G124" s="214">
        <v>5.01</v>
      </c>
      <c r="H124" s="214">
        <v>5.01</v>
      </c>
      <c r="I124" s="215">
        <v>0</v>
      </c>
      <c r="J124" s="215">
        <v>0</v>
      </c>
      <c r="K124" s="214">
        <v>12.74</v>
      </c>
      <c r="L124" s="214">
        <v>6.37</v>
      </c>
      <c r="M124" s="215">
        <v>0</v>
      </c>
      <c r="N124" s="215">
        <v>0</v>
      </c>
      <c r="O124" s="214">
        <v>7.82</v>
      </c>
      <c r="P124" s="214">
        <v>4.31</v>
      </c>
      <c r="Q124" s="215">
        <v>0</v>
      </c>
      <c r="R124" s="215">
        <v>0</v>
      </c>
      <c r="S124" s="214">
        <v>9.32</v>
      </c>
      <c r="T124" s="214">
        <v>4.66</v>
      </c>
      <c r="U124" s="215">
        <v>0</v>
      </c>
      <c r="V124" s="215">
        <v>0</v>
      </c>
      <c r="W124" s="214">
        <v>11.12</v>
      </c>
      <c r="X124" s="214">
        <v>5.56</v>
      </c>
      <c r="Y124" s="215">
        <v>0</v>
      </c>
      <c r="Z124" s="215">
        <v>0</v>
      </c>
      <c r="AA124" s="214">
        <v>11.83</v>
      </c>
      <c r="AB124" s="214">
        <v>5.92</v>
      </c>
      <c r="AC124" s="215">
        <v>0</v>
      </c>
      <c r="AD124" s="215">
        <v>0</v>
      </c>
    </row>
    <row r="125" spans="1:30" s="228" customFormat="1" ht="24.75" customHeight="1">
      <c r="A125" s="218" t="s">
        <v>131</v>
      </c>
      <c r="B125" s="219" t="s">
        <v>409</v>
      </c>
      <c r="C125" s="227">
        <v>1</v>
      </c>
      <c r="D125" s="227">
        <v>0.5</v>
      </c>
      <c r="E125" s="215">
        <v>0</v>
      </c>
      <c r="F125" s="215">
        <v>0</v>
      </c>
      <c r="G125" s="214">
        <v>6.35</v>
      </c>
      <c r="H125" s="214">
        <v>6.35</v>
      </c>
      <c r="I125" s="215">
        <v>0</v>
      </c>
      <c r="J125" s="215">
        <v>0</v>
      </c>
      <c r="K125" s="214">
        <v>15.34</v>
      </c>
      <c r="L125" s="214">
        <v>7.67</v>
      </c>
      <c r="M125" s="215">
        <v>0</v>
      </c>
      <c r="N125" s="215">
        <v>0</v>
      </c>
      <c r="O125" s="214">
        <v>8.08</v>
      </c>
      <c r="P125" s="214">
        <v>4.45</v>
      </c>
      <c r="Q125" s="215">
        <v>0</v>
      </c>
      <c r="R125" s="215">
        <v>0</v>
      </c>
      <c r="S125" s="214">
        <v>9.32</v>
      </c>
      <c r="T125" s="214">
        <v>4.66</v>
      </c>
      <c r="U125" s="215">
        <v>0</v>
      </c>
      <c r="V125" s="215">
        <v>0</v>
      </c>
      <c r="W125" s="214">
        <v>16.4</v>
      </c>
      <c r="X125" s="214">
        <v>8.2</v>
      </c>
      <c r="Y125" s="215">
        <v>0</v>
      </c>
      <c r="Z125" s="215">
        <v>0</v>
      </c>
      <c r="AA125" s="214">
        <v>6.81</v>
      </c>
      <c r="AB125" s="214">
        <v>3.41</v>
      </c>
      <c r="AC125" s="215">
        <v>0</v>
      </c>
      <c r="AD125" s="215">
        <v>0</v>
      </c>
    </row>
    <row r="126" spans="1:30" s="228" customFormat="1" ht="24.75" customHeight="1">
      <c r="A126" s="218" t="s">
        <v>132</v>
      </c>
      <c r="B126" s="219" t="s">
        <v>410</v>
      </c>
      <c r="C126" s="227">
        <v>0.76</v>
      </c>
      <c r="D126" s="227">
        <v>0.38</v>
      </c>
      <c r="E126" s="215">
        <v>0</v>
      </c>
      <c r="F126" s="215">
        <v>0</v>
      </c>
      <c r="G126" s="214">
        <v>16.37</v>
      </c>
      <c r="H126" s="214">
        <v>16.37</v>
      </c>
      <c r="I126" s="215">
        <v>0</v>
      </c>
      <c r="J126" s="215">
        <v>0</v>
      </c>
      <c r="K126" s="214">
        <v>18.26</v>
      </c>
      <c r="L126" s="214">
        <v>9.13</v>
      </c>
      <c r="M126" s="215">
        <v>0</v>
      </c>
      <c r="N126" s="215">
        <v>0</v>
      </c>
      <c r="O126" s="214">
        <v>17.34</v>
      </c>
      <c r="P126" s="214">
        <v>9.54</v>
      </c>
      <c r="Q126" s="215">
        <v>0</v>
      </c>
      <c r="R126" s="215">
        <v>0</v>
      </c>
      <c r="S126" s="214">
        <v>19.24</v>
      </c>
      <c r="T126" s="214">
        <v>9.62</v>
      </c>
      <c r="U126" s="215">
        <v>0</v>
      </c>
      <c r="V126" s="215">
        <v>0</v>
      </c>
      <c r="W126" s="214">
        <v>36.12</v>
      </c>
      <c r="X126" s="214">
        <v>18.06</v>
      </c>
      <c r="Y126" s="215">
        <v>0</v>
      </c>
      <c r="Z126" s="215">
        <v>0</v>
      </c>
      <c r="AA126" s="214">
        <v>30.09</v>
      </c>
      <c r="AB126" s="214">
        <v>15.05</v>
      </c>
      <c r="AC126" s="215">
        <v>0</v>
      </c>
      <c r="AD126" s="215">
        <v>0</v>
      </c>
    </row>
    <row r="127" spans="1:30" s="228" customFormat="1" ht="24.75" customHeight="1">
      <c r="A127" s="218" t="s">
        <v>133</v>
      </c>
      <c r="B127" s="219" t="s">
        <v>411</v>
      </c>
      <c r="C127" s="227">
        <v>2.72</v>
      </c>
      <c r="D127" s="227">
        <v>1.36</v>
      </c>
      <c r="E127" s="215">
        <v>0</v>
      </c>
      <c r="F127" s="215">
        <v>0</v>
      </c>
      <c r="G127" s="214">
        <v>20.05</v>
      </c>
      <c r="H127" s="214">
        <v>20.05</v>
      </c>
      <c r="I127" s="215">
        <v>0</v>
      </c>
      <c r="J127" s="215">
        <v>0</v>
      </c>
      <c r="K127" s="214">
        <v>69.48</v>
      </c>
      <c r="L127" s="214">
        <v>34.74</v>
      </c>
      <c r="M127" s="215">
        <v>0</v>
      </c>
      <c r="N127" s="215">
        <v>0</v>
      </c>
      <c r="O127" s="214">
        <v>67.14</v>
      </c>
      <c r="P127" s="214">
        <v>36.93</v>
      </c>
      <c r="Q127" s="215">
        <v>0</v>
      </c>
      <c r="R127" s="215">
        <v>0</v>
      </c>
      <c r="S127" s="214">
        <v>41.89</v>
      </c>
      <c r="T127" s="214">
        <v>22.85</v>
      </c>
      <c r="U127" s="215">
        <v>0</v>
      </c>
      <c r="V127" s="215">
        <v>0</v>
      </c>
      <c r="W127" s="214">
        <v>81.88</v>
      </c>
      <c r="X127" s="214">
        <v>40.94</v>
      </c>
      <c r="Y127" s="215">
        <v>0</v>
      </c>
      <c r="Z127" s="215">
        <v>0</v>
      </c>
      <c r="AA127" s="214">
        <v>84.67</v>
      </c>
      <c r="AB127" s="214">
        <v>42.34</v>
      </c>
      <c r="AC127" s="215">
        <v>0</v>
      </c>
      <c r="AD127" s="215">
        <v>0</v>
      </c>
    </row>
    <row r="128" spans="1:30" s="228" customFormat="1" ht="24.75" customHeight="1">
      <c r="A128" s="218" t="s">
        <v>134</v>
      </c>
      <c r="B128" s="219" t="s">
        <v>412</v>
      </c>
      <c r="C128" s="227">
        <v>13.92</v>
      </c>
      <c r="D128" s="227">
        <v>6.96</v>
      </c>
      <c r="E128" s="215">
        <v>0</v>
      </c>
      <c r="F128" s="215">
        <v>0</v>
      </c>
      <c r="G128" s="214">
        <v>53.46</v>
      </c>
      <c r="H128" s="214">
        <v>53.46</v>
      </c>
      <c r="I128" s="215">
        <v>0</v>
      </c>
      <c r="J128" s="215">
        <v>0</v>
      </c>
      <c r="K128" s="214">
        <v>173.62</v>
      </c>
      <c r="L128" s="214">
        <v>86.81</v>
      </c>
      <c r="M128" s="215">
        <v>0</v>
      </c>
      <c r="N128" s="215">
        <v>0</v>
      </c>
      <c r="O128" s="214">
        <v>110.92</v>
      </c>
      <c r="P128" s="214">
        <v>61.01</v>
      </c>
      <c r="Q128" s="215">
        <v>0</v>
      </c>
      <c r="R128" s="215">
        <v>0</v>
      </c>
      <c r="S128" s="214">
        <v>112.35</v>
      </c>
      <c r="T128" s="214">
        <v>59.82</v>
      </c>
      <c r="U128" s="215">
        <v>0</v>
      </c>
      <c r="V128" s="215">
        <v>0</v>
      </c>
      <c r="W128" s="214">
        <v>104.16</v>
      </c>
      <c r="X128" s="214">
        <v>52.08</v>
      </c>
      <c r="Y128" s="215">
        <v>0</v>
      </c>
      <c r="Z128" s="215">
        <v>0</v>
      </c>
      <c r="AA128" s="214">
        <v>196.32</v>
      </c>
      <c r="AB128" s="214">
        <v>98.16</v>
      </c>
      <c r="AC128" s="215">
        <v>0</v>
      </c>
      <c r="AD128" s="215">
        <v>0</v>
      </c>
    </row>
    <row r="129" spans="1:30" s="228" customFormat="1" ht="24.75" customHeight="1">
      <c r="A129" s="218" t="s">
        <v>135</v>
      </c>
      <c r="B129" s="219" t="s">
        <v>413</v>
      </c>
      <c r="C129" s="227">
        <v>9.74</v>
      </c>
      <c r="D129" s="227">
        <v>4.87</v>
      </c>
      <c r="E129" s="215">
        <v>0</v>
      </c>
      <c r="F129" s="215">
        <v>0</v>
      </c>
      <c r="G129" s="214">
        <v>153.7</v>
      </c>
      <c r="H129" s="214">
        <v>153.7</v>
      </c>
      <c r="I129" s="215">
        <v>0</v>
      </c>
      <c r="J129" s="215">
        <v>0</v>
      </c>
      <c r="K129" s="214">
        <v>435.66</v>
      </c>
      <c r="L129" s="214">
        <v>217.83</v>
      </c>
      <c r="M129" s="215">
        <v>0</v>
      </c>
      <c r="N129" s="215">
        <v>0</v>
      </c>
      <c r="O129" s="214">
        <v>275.02</v>
      </c>
      <c r="P129" s="214">
        <v>151.27</v>
      </c>
      <c r="Q129" s="215">
        <v>0</v>
      </c>
      <c r="R129" s="215">
        <v>0</v>
      </c>
      <c r="S129" s="214">
        <v>342.88</v>
      </c>
      <c r="T129" s="214">
        <v>177.1</v>
      </c>
      <c r="U129" s="215">
        <v>0</v>
      </c>
      <c r="V129" s="215">
        <v>0</v>
      </c>
      <c r="W129" s="214">
        <v>161.8</v>
      </c>
      <c r="X129" s="214">
        <v>80.9</v>
      </c>
      <c r="Y129" s="215">
        <v>0</v>
      </c>
      <c r="Z129" s="215">
        <v>0</v>
      </c>
      <c r="AA129" s="214">
        <v>397.44</v>
      </c>
      <c r="AB129" s="214">
        <v>198.72</v>
      </c>
      <c r="AC129" s="215">
        <v>0</v>
      </c>
      <c r="AD129" s="215">
        <v>0</v>
      </c>
    </row>
    <row r="130" spans="1:30" s="228" customFormat="1" ht="24.75" customHeight="1">
      <c r="A130" s="218" t="s">
        <v>414</v>
      </c>
      <c r="B130" s="219" t="s">
        <v>415</v>
      </c>
      <c r="C130" s="227">
        <v>0.7</v>
      </c>
      <c r="D130" s="227">
        <v>0.35</v>
      </c>
      <c r="E130" s="215">
        <v>0</v>
      </c>
      <c r="F130" s="215">
        <v>0</v>
      </c>
      <c r="G130" s="214">
        <v>2</v>
      </c>
      <c r="H130" s="214">
        <v>2</v>
      </c>
      <c r="I130" s="215">
        <v>0</v>
      </c>
      <c r="J130" s="215">
        <v>0</v>
      </c>
      <c r="K130" s="214">
        <v>10.44</v>
      </c>
      <c r="L130" s="214">
        <v>5.22</v>
      </c>
      <c r="M130" s="215">
        <v>0</v>
      </c>
      <c r="N130" s="215">
        <v>0</v>
      </c>
      <c r="O130" s="214">
        <v>11.08</v>
      </c>
      <c r="P130" s="214">
        <v>6.1</v>
      </c>
      <c r="Q130" s="215">
        <v>0</v>
      </c>
      <c r="R130" s="215">
        <v>0</v>
      </c>
      <c r="S130" s="214">
        <v>9.42</v>
      </c>
      <c r="T130" s="214">
        <v>4.71</v>
      </c>
      <c r="U130" s="215">
        <v>0</v>
      </c>
      <c r="V130" s="215">
        <v>0</v>
      </c>
      <c r="W130" s="214">
        <v>3.66</v>
      </c>
      <c r="X130" s="214">
        <v>1.83</v>
      </c>
      <c r="Y130" s="215">
        <v>0</v>
      </c>
      <c r="Z130" s="215">
        <v>0</v>
      </c>
      <c r="AA130" s="214">
        <v>6.31</v>
      </c>
      <c r="AB130" s="214">
        <v>3.16</v>
      </c>
      <c r="AC130" s="215">
        <v>0</v>
      </c>
      <c r="AD130" s="215">
        <v>0</v>
      </c>
    </row>
    <row r="131" spans="1:30" s="228" customFormat="1" ht="24.75" customHeight="1">
      <c r="A131" s="218" t="s">
        <v>145</v>
      </c>
      <c r="B131" s="219" t="s">
        <v>417</v>
      </c>
      <c r="C131" s="227">
        <v>59</v>
      </c>
      <c r="D131" s="215">
        <v>0</v>
      </c>
      <c r="E131" s="215">
        <v>0</v>
      </c>
      <c r="F131" s="215">
        <v>0</v>
      </c>
      <c r="G131" s="214">
        <v>0.62</v>
      </c>
      <c r="H131" s="215">
        <v>0</v>
      </c>
      <c r="I131" s="215">
        <v>0</v>
      </c>
      <c r="J131" s="215">
        <v>0</v>
      </c>
      <c r="K131" s="214">
        <v>5</v>
      </c>
      <c r="L131" s="215">
        <v>0</v>
      </c>
      <c r="M131" s="215">
        <v>0</v>
      </c>
      <c r="N131" s="215">
        <v>0</v>
      </c>
      <c r="O131" s="214">
        <v>0.83</v>
      </c>
      <c r="P131" s="215">
        <v>0</v>
      </c>
      <c r="Q131" s="215">
        <v>0</v>
      </c>
      <c r="R131" s="215">
        <v>0</v>
      </c>
      <c r="S131" s="214">
        <v>4.7</v>
      </c>
      <c r="T131" s="215">
        <v>0</v>
      </c>
      <c r="U131" s="215">
        <v>0</v>
      </c>
      <c r="V131" s="215">
        <v>0</v>
      </c>
      <c r="W131" s="214">
        <v>70</v>
      </c>
      <c r="X131" s="215">
        <v>0</v>
      </c>
      <c r="Y131" s="215">
        <v>0</v>
      </c>
      <c r="Z131" s="215">
        <v>0</v>
      </c>
      <c r="AA131" s="214">
        <v>1.48</v>
      </c>
      <c r="AB131" s="215">
        <v>0</v>
      </c>
      <c r="AC131" s="215">
        <v>0</v>
      </c>
      <c r="AD131" s="215">
        <v>0</v>
      </c>
    </row>
    <row r="132" spans="1:30" s="228" customFormat="1" ht="24.75" customHeight="1">
      <c r="A132" s="218" t="s">
        <v>146</v>
      </c>
      <c r="B132" s="219" t="s">
        <v>416</v>
      </c>
      <c r="C132" s="227">
        <v>29.5</v>
      </c>
      <c r="D132" s="215">
        <v>0</v>
      </c>
      <c r="E132" s="215">
        <v>0</v>
      </c>
      <c r="F132" s="215">
        <v>0</v>
      </c>
      <c r="G132" s="214">
        <v>0.55</v>
      </c>
      <c r="H132" s="215">
        <v>0</v>
      </c>
      <c r="I132" s="215">
        <v>0</v>
      </c>
      <c r="J132" s="215">
        <v>0</v>
      </c>
      <c r="K132" s="214">
        <v>4</v>
      </c>
      <c r="L132" s="215">
        <v>0</v>
      </c>
      <c r="M132" s="215">
        <v>0</v>
      </c>
      <c r="N132" s="215">
        <v>0</v>
      </c>
      <c r="O132" s="214">
        <v>0.5</v>
      </c>
      <c r="P132" s="215">
        <v>0</v>
      </c>
      <c r="Q132" s="215">
        <v>0</v>
      </c>
      <c r="R132" s="215">
        <v>0</v>
      </c>
      <c r="S132" s="214">
        <v>2.35</v>
      </c>
      <c r="T132" s="215">
        <v>0</v>
      </c>
      <c r="U132" s="215">
        <v>0</v>
      </c>
      <c r="V132" s="215">
        <v>0</v>
      </c>
      <c r="W132" s="214">
        <v>70</v>
      </c>
      <c r="X132" s="215">
        <v>0</v>
      </c>
      <c r="Y132" s="215">
        <v>0</v>
      </c>
      <c r="Z132" s="215">
        <v>0</v>
      </c>
      <c r="AA132" s="214">
        <v>1.48</v>
      </c>
      <c r="AB132" s="215">
        <v>0</v>
      </c>
      <c r="AC132" s="215">
        <v>0</v>
      </c>
      <c r="AD132" s="215">
        <v>0</v>
      </c>
    </row>
    <row r="133" spans="1:30" s="228" customFormat="1" ht="24.75" customHeight="1">
      <c r="A133" s="218" t="s">
        <v>152</v>
      </c>
      <c r="B133" s="219" t="s">
        <v>418</v>
      </c>
      <c r="C133" s="227">
        <v>29.5</v>
      </c>
      <c r="D133" s="227">
        <v>14.75</v>
      </c>
      <c r="E133" s="215">
        <v>0</v>
      </c>
      <c r="F133" s="215">
        <v>0</v>
      </c>
      <c r="G133" s="214">
        <v>456.06</v>
      </c>
      <c r="H133" s="214">
        <v>456.06</v>
      </c>
      <c r="I133" s="215">
        <v>0</v>
      </c>
      <c r="J133" s="215">
        <v>0</v>
      </c>
      <c r="K133" s="214">
        <v>4.4</v>
      </c>
      <c r="L133" s="214">
        <v>2.2</v>
      </c>
      <c r="M133" s="215">
        <v>0</v>
      </c>
      <c r="N133" s="215">
        <v>0</v>
      </c>
      <c r="O133" s="214">
        <v>1609.38</v>
      </c>
      <c r="P133" s="214">
        <v>885.16</v>
      </c>
      <c r="Q133" s="215">
        <v>0</v>
      </c>
      <c r="R133" s="215">
        <v>0</v>
      </c>
      <c r="S133" s="214">
        <v>789.57</v>
      </c>
      <c r="T133" s="214">
        <v>969.44</v>
      </c>
      <c r="U133" s="215">
        <v>0</v>
      </c>
      <c r="V133" s="215">
        <v>0</v>
      </c>
      <c r="W133" s="214">
        <v>200</v>
      </c>
      <c r="X133" s="214">
        <v>100</v>
      </c>
      <c r="Y133" s="215">
        <v>0</v>
      </c>
      <c r="Z133" s="215">
        <v>0</v>
      </c>
      <c r="AA133" s="214">
        <v>1068.39</v>
      </c>
      <c r="AB133" s="214">
        <v>534.2</v>
      </c>
      <c r="AC133" s="215">
        <v>0</v>
      </c>
      <c r="AD133" s="215">
        <v>0</v>
      </c>
    </row>
    <row r="134" spans="1:30" s="228" customFormat="1" ht="24.75" customHeight="1">
      <c r="A134" s="218" t="s">
        <v>147</v>
      </c>
      <c r="B134" s="219" t="s">
        <v>419</v>
      </c>
      <c r="C134" s="227">
        <v>21.72</v>
      </c>
      <c r="D134" s="227">
        <v>10.86</v>
      </c>
      <c r="E134" s="215">
        <v>0</v>
      </c>
      <c r="F134" s="215">
        <v>0</v>
      </c>
      <c r="G134" s="214">
        <v>2.83</v>
      </c>
      <c r="H134" s="214">
        <v>2.83</v>
      </c>
      <c r="I134" s="215">
        <v>0</v>
      </c>
      <c r="J134" s="215">
        <v>0</v>
      </c>
      <c r="K134" s="214">
        <v>2</v>
      </c>
      <c r="L134" s="214">
        <v>1</v>
      </c>
      <c r="M134" s="215">
        <v>0</v>
      </c>
      <c r="N134" s="215">
        <v>0</v>
      </c>
      <c r="O134" s="214">
        <v>1.58</v>
      </c>
      <c r="P134" s="214">
        <v>0.87</v>
      </c>
      <c r="Q134" s="215">
        <v>0</v>
      </c>
      <c r="R134" s="215">
        <v>0</v>
      </c>
      <c r="S134" s="214">
        <v>0.86</v>
      </c>
      <c r="T134" s="214">
        <v>0.43</v>
      </c>
      <c r="U134" s="215">
        <v>0</v>
      </c>
      <c r="V134" s="215">
        <v>0</v>
      </c>
      <c r="W134" s="214">
        <v>2</v>
      </c>
      <c r="X134" s="214">
        <v>1</v>
      </c>
      <c r="Y134" s="215">
        <v>0</v>
      </c>
      <c r="Z134" s="215">
        <v>0</v>
      </c>
      <c r="AA134" s="214">
        <v>14.58</v>
      </c>
      <c r="AB134" s="214">
        <v>7.29</v>
      </c>
      <c r="AC134" s="215">
        <v>0</v>
      </c>
      <c r="AD134" s="215">
        <v>0</v>
      </c>
    </row>
    <row r="135" spans="1:30" s="228" customFormat="1" ht="24.75" customHeight="1">
      <c r="A135" s="218" t="s">
        <v>148</v>
      </c>
      <c r="B135" s="219" t="s">
        <v>420</v>
      </c>
      <c r="C135" s="227">
        <v>21.72</v>
      </c>
      <c r="D135" s="227">
        <v>10.86</v>
      </c>
      <c r="E135" s="215">
        <v>0</v>
      </c>
      <c r="F135" s="215">
        <v>0</v>
      </c>
      <c r="G135" s="214">
        <v>2.83</v>
      </c>
      <c r="H135" s="214">
        <v>2.83</v>
      </c>
      <c r="I135" s="215">
        <v>0</v>
      </c>
      <c r="J135" s="215">
        <v>0</v>
      </c>
      <c r="K135" s="214">
        <v>2</v>
      </c>
      <c r="L135" s="214">
        <v>1</v>
      </c>
      <c r="M135" s="215">
        <v>0</v>
      </c>
      <c r="N135" s="215">
        <v>0</v>
      </c>
      <c r="O135" s="214">
        <v>1.64</v>
      </c>
      <c r="P135" s="214">
        <v>0.91</v>
      </c>
      <c r="Q135" s="215">
        <v>0</v>
      </c>
      <c r="R135" s="215">
        <v>0</v>
      </c>
      <c r="S135" s="214">
        <v>0.86</v>
      </c>
      <c r="T135" s="214">
        <v>0.43</v>
      </c>
      <c r="U135" s="215">
        <v>0</v>
      </c>
      <c r="V135" s="215">
        <v>0</v>
      </c>
      <c r="W135" s="214">
        <v>2</v>
      </c>
      <c r="X135" s="214">
        <v>1</v>
      </c>
      <c r="Y135" s="215">
        <v>0</v>
      </c>
      <c r="Z135" s="215">
        <v>0</v>
      </c>
      <c r="AA135" s="214">
        <v>14.58</v>
      </c>
      <c r="AB135" s="214">
        <v>7.29</v>
      </c>
      <c r="AC135" s="215">
        <v>0</v>
      </c>
      <c r="AD135" s="215">
        <v>0</v>
      </c>
    </row>
    <row r="136" spans="1:30" s="228" customFormat="1" ht="24.75" customHeight="1">
      <c r="A136" s="218" t="s">
        <v>149</v>
      </c>
      <c r="B136" s="219" t="s">
        <v>421</v>
      </c>
      <c r="C136" s="227">
        <v>23.42</v>
      </c>
      <c r="D136" s="227">
        <v>11.71</v>
      </c>
      <c r="E136" s="215">
        <v>0</v>
      </c>
      <c r="F136" s="215">
        <v>0</v>
      </c>
      <c r="G136" s="214">
        <v>82.86</v>
      </c>
      <c r="H136" s="214">
        <v>82.86</v>
      </c>
      <c r="I136" s="215">
        <v>0</v>
      </c>
      <c r="J136" s="215">
        <v>0</v>
      </c>
      <c r="K136" s="214">
        <v>50</v>
      </c>
      <c r="L136" s="214">
        <v>25</v>
      </c>
      <c r="M136" s="215">
        <v>0</v>
      </c>
      <c r="N136" s="215">
        <v>0</v>
      </c>
      <c r="O136" s="214">
        <v>92</v>
      </c>
      <c r="P136" s="214">
        <v>50.6</v>
      </c>
      <c r="Q136" s="215">
        <v>0</v>
      </c>
      <c r="R136" s="215">
        <v>0</v>
      </c>
      <c r="S136" s="214">
        <v>26.78</v>
      </c>
      <c r="T136" s="214">
        <v>53.57</v>
      </c>
      <c r="U136" s="215">
        <v>0</v>
      </c>
      <c r="V136" s="215">
        <v>0</v>
      </c>
      <c r="W136" s="214">
        <v>277.14</v>
      </c>
      <c r="X136" s="214">
        <v>138.57</v>
      </c>
      <c r="Y136" s="215">
        <v>0</v>
      </c>
      <c r="Z136" s="215">
        <v>0</v>
      </c>
      <c r="AA136" s="214">
        <v>152.09</v>
      </c>
      <c r="AB136" s="214">
        <v>76.05</v>
      </c>
      <c r="AC136" s="215">
        <v>0</v>
      </c>
      <c r="AD136" s="215">
        <v>0</v>
      </c>
    </row>
    <row r="137" spans="1:30" s="228" customFormat="1" ht="24.75" customHeight="1">
      <c r="A137" s="218" t="s">
        <v>150</v>
      </c>
      <c r="B137" s="219" t="s">
        <v>422</v>
      </c>
      <c r="C137" s="227">
        <v>23.42</v>
      </c>
      <c r="D137" s="227">
        <v>11.71</v>
      </c>
      <c r="E137" s="215">
        <v>0</v>
      </c>
      <c r="F137" s="215">
        <v>0</v>
      </c>
      <c r="G137" s="214">
        <v>141.92</v>
      </c>
      <c r="H137" s="214">
        <v>141.92</v>
      </c>
      <c r="I137" s="215">
        <v>0</v>
      </c>
      <c r="J137" s="215">
        <v>0</v>
      </c>
      <c r="K137" s="214">
        <v>50</v>
      </c>
      <c r="L137" s="214">
        <v>25</v>
      </c>
      <c r="M137" s="215">
        <v>0</v>
      </c>
      <c r="N137" s="215">
        <v>0</v>
      </c>
      <c r="O137" s="214">
        <v>132</v>
      </c>
      <c r="P137" s="214">
        <v>72.6</v>
      </c>
      <c r="Q137" s="215">
        <v>0</v>
      </c>
      <c r="R137" s="215">
        <v>0</v>
      </c>
      <c r="S137" s="214">
        <v>170.09</v>
      </c>
      <c r="T137" s="214">
        <v>88.12</v>
      </c>
      <c r="U137" s="215">
        <v>0</v>
      </c>
      <c r="V137" s="215">
        <v>0</v>
      </c>
      <c r="W137" s="214">
        <v>426.66</v>
      </c>
      <c r="X137" s="214">
        <v>213.33</v>
      </c>
      <c r="Y137" s="215">
        <v>0</v>
      </c>
      <c r="Z137" s="215">
        <v>0</v>
      </c>
      <c r="AA137" s="214">
        <v>211.24</v>
      </c>
      <c r="AB137" s="214">
        <v>105.62</v>
      </c>
      <c r="AC137" s="215">
        <v>0</v>
      </c>
      <c r="AD137" s="215">
        <v>0</v>
      </c>
    </row>
    <row r="138" spans="1:30" s="228" customFormat="1" ht="24.75" customHeight="1">
      <c r="A138" s="218" t="s">
        <v>151</v>
      </c>
      <c r="B138" s="219" t="s">
        <v>423</v>
      </c>
      <c r="C138" s="227">
        <v>24.02</v>
      </c>
      <c r="D138" s="227">
        <v>12.01</v>
      </c>
      <c r="E138" s="215">
        <v>0</v>
      </c>
      <c r="F138" s="215">
        <v>0</v>
      </c>
      <c r="G138" s="214">
        <v>168.06</v>
      </c>
      <c r="H138" s="214">
        <v>168.06</v>
      </c>
      <c r="I138" s="215">
        <v>0</v>
      </c>
      <c r="J138" s="215">
        <v>0</v>
      </c>
      <c r="K138" s="214">
        <v>100</v>
      </c>
      <c r="L138" s="214">
        <v>50</v>
      </c>
      <c r="M138" s="215">
        <v>0</v>
      </c>
      <c r="N138" s="215">
        <v>0</v>
      </c>
      <c r="O138" s="214">
        <v>138</v>
      </c>
      <c r="P138" s="214">
        <v>75.9</v>
      </c>
      <c r="Q138" s="215">
        <v>0</v>
      </c>
      <c r="R138" s="215">
        <v>0</v>
      </c>
      <c r="S138" s="214">
        <v>157.9</v>
      </c>
      <c r="T138" s="214">
        <v>82.88</v>
      </c>
      <c r="U138" s="215">
        <v>0</v>
      </c>
      <c r="V138" s="215">
        <v>0</v>
      </c>
      <c r="W138" s="214">
        <v>443.34</v>
      </c>
      <c r="X138" s="214">
        <v>221.67</v>
      </c>
      <c r="Y138" s="215">
        <v>0</v>
      </c>
      <c r="Z138" s="215">
        <v>0</v>
      </c>
      <c r="AA138" s="214">
        <v>197.1</v>
      </c>
      <c r="AB138" s="214">
        <v>98.55</v>
      </c>
      <c r="AC138" s="215">
        <v>0</v>
      </c>
      <c r="AD138" s="215">
        <v>0</v>
      </c>
    </row>
    <row r="139" spans="1:30" s="228" customFormat="1" ht="24.75" customHeight="1">
      <c r="A139" s="218" t="s">
        <v>424</v>
      </c>
      <c r="B139" s="219" t="s">
        <v>425</v>
      </c>
      <c r="C139" s="220">
        <v>0</v>
      </c>
      <c r="D139" s="227">
        <v>15.4</v>
      </c>
      <c r="E139" s="215">
        <v>0</v>
      </c>
      <c r="F139" s="215">
        <v>0</v>
      </c>
      <c r="G139" s="220">
        <v>0</v>
      </c>
      <c r="H139" s="214">
        <v>0.2</v>
      </c>
      <c r="I139" s="215">
        <v>0</v>
      </c>
      <c r="J139" s="215">
        <v>0</v>
      </c>
      <c r="K139" s="220">
        <v>0</v>
      </c>
      <c r="L139" s="214">
        <v>0.23</v>
      </c>
      <c r="M139" s="215">
        <v>0</v>
      </c>
      <c r="N139" s="215">
        <v>0</v>
      </c>
      <c r="O139" s="220">
        <v>0</v>
      </c>
      <c r="P139" s="214">
        <v>0.08</v>
      </c>
      <c r="Q139" s="215">
        <v>0</v>
      </c>
      <c r="R139" s="215">
        <v>0</v>
      </c>
      <c r="S139" s="220">
        <v>0</v>
      </c>
      <c r="T139" s="214">
        <v>0.09</v>
      </c>
      <c r="U139" s="215">
        <v>0</v>
      </c>
      <c r="V139" s="215">
        <v>0</v>
      </c>
      <c r="W139" s="220">
        <v>0</v>
      </c>
      <c r="X139" s="214">
        <v>0.87</v>
      </c>
      <c r="Y139" s="215">
        <v>0</v>
      </c>
      <c r="Z139" s="215">
        <v>0</v>
      </c>
      <c r="AA139" s="220">
        <v>0</v>
      </c>
      <c r="AB139" s="214">
        <v>0.55</v>
      </c>
      <c r="AC139" s="215">
        <v>0</v>
      </c>
      <c r="AD139" s="215">
        <v>0</v>
      </c>
    </row>
    <row r="140" spans="1:30" ht="24.75" customHeight="1">
      <c r="A140" s="218" t="s">
        <v>426</v>
      </c>
      <c r="B140" s="219" t="s">
        <v>427</v>
      </c>
      <c r="C140" s="220">
        <v>0</v>
      </c>
      <c r="D140" s="227">
        <v>6.61</v>
      </c>
      <c r="E140" s="215">
        <v>0</v>
      </c>
      <c r="F140" s="215">
        <v>0</v>
      </c>
      <c r="G140" s="220">
        <v>0</v>
      </c>
      <c r="H140" s="214">
        <v>0.22</v>
      </c>
      <c r="I140" s="215">
        <v>0</v>
      </c>
      <c r="J140" s="215">
        <v>0</v>
      </c>
      <c r="K140" s="220">
        <v>0</v>
      </c>
      <c r="L140" s="214">
        <v>0.29</v>
      </c>
      <c r="M140" s="215">
        <v>0</v>
      </c>
      <c r="N140" s="215">
        <v>0</v>
      </c>
      <c r="O140" s="220">
        <v>0</v>
      </c>
      <c r="P140" s="214">
        <v>0.06</v>
      </c>
      <c r="Q140" s="215">
        <v>0</v>
      </c>
      <c r="R140" s="215">
        <v>0</v>
      </c>
      <c r="S140" s="220">
        <v>0</v>
      </c>
      <c r="T140" s="214">
        <v>0.09</v>
      </c>
      <c r="U140" s="215">
        <v>0</v>
      </c>
      <c r="V140" s="215">
        <v>0</v>
      </c>
      <c r="W140" s="220">
        <v>0</v>
      </c>
      <c r="X140" s="214">
        <v>0.74</v>
      </c>
      <c r="Y140" s="215">
        <v>0</v>
      </c>
      <c r="Z140" s="215">
        <v>0</v>
      </c>
      <c r="AA140" s="220">
        <v>0</v>
      </c>
      <c r="AB140" s="214">
        <v>0.55</v>
      </c>
      <c r="AC140" s="215">
        <v>0</v>
      </c>
      <c r="AD140" s="215">
        <v>0</v>
      </c>
    </row>
    <row r="141" spans="1:30" ht="24.75" customHeight="1">
      <c r="A141" s="218" t="s">
        <v>428</v>
      </c>
      <c r="B141" s="219" t="s">
        <v>429</v>
      </c>
      <c r="C141" s="220">
        <v>0</v>
      </c>
      <c r="D141" s="227">
        <v>2.71</v>
      </c>
      <c r="E141" s="215">
        <v>0</v>
      </c>
      <c r="F141" s="215">
        <v>0</v>
      </c>
      <c r="G141" s="220">
        <v>0</v>
      </c>
      <c r="H141" s="214">
        <v>0.16</v>
      </c>
      <c r="I141" s="215">
        <v>0</v>
      </c>
      <c r="J141" s="215">
        <v>0</v>
      </c>
      <c r="K141" s="220">
        <v>0</v>
      </c>
      <c r="L141" s="214">
        <v>0.27</v>
      </c>
      <c r="M141" s="215">
        <v>0</v>
      </c>
      <c r="N141" s="215">
        <v>0</v>
      </c>
      <c r="O141" s="220">
        <v>0</v>
      </c>
      <c r="P141" s="214">
        <v>0.05</v>
      </c>
      <c r="Q141" s="215">
        <v>0</v>
      </c>
      <c r="R141" s="215">
        <v>0</v>
      </c>
      <c r="S141" s="220">
        <v>0</v>
      </c>
      <c r="T141" s="214">
        <v>0.09</v>
      </c>
      <c r="U141" s="215">
        <v>0</v>
      </c>
      <c r="V141" s="215">
        <v>0</v>
      </c>
      <c r="W141" s="220">
        <v>0</v>
      </c>
      <c r="X141" s="214">
        <v>0.63</v>
      </c>
      <c r="Y141" s="215">
        <v>0</v>
      </c>
      <c r="Z141" s="215">
        <v>0</v>
      </c>
      <c r="AA141" s="220">
        <v>0</v>
      </c>
      <c r="AB141" s="214">
        <v>0.55</v>
      </c>
      <c r="AC141" s="215">
        <v>0</v>
      </c>
      <c r="AD141" s="215">
        <v>0</v>
      </c>
    </row>
    <row r="142" spans="1:30" ht="24.75" customHeight="1">
      <c r="A142" s="218" t="s">
        <v>430</v>
      </c>
      <c r="B142" s="219" t="s">
        <v>431</v>
      </c>
      <c r="C142" s="220">
        <v>0</v>
      </c>
      <c r="D142" s="227">
        <v>1.36</v>
      </c>
      <c r="E142" s="215">
        <v>0</v>
      </c>
      <c r="F142" s="215">
        <v>0</v>
      </c>
      <c r="G142" s="220">
        <v>0</v>
      </c>
      <c r="H142" s="214">
        <v>0.14</v>
      </c>
      <c r="I142" s="215">
        <v>0</v>
      </c>
      <c r="J142" s="215">
        <v>0</v>
      </c>
      <c r="K142" s="220">
        <v>0</v>
      </c>
      <c r="L142" s="214">
        <v>0.35</v>
      </c>
      <c r="M142" s="215">
        <v>0</v>
      </c>
      <c r="N142" s="215">
        <v>0</v>
      </c>
      <c r="O142" s="220">
        <v>0</v>
      </c>
      <c r="P142" s="214">
        <v>0.05</v>
      </c>
      <c r="Q142" s="215">
        <v>0</v>
      </c>
      <c r="R142" s="215">
        <v>0</v>
      </c>
      <c r="S142" s="220">
        <v>0</v>
      </c>
      <c r="T142" s="214">
        <v>0.09</v>
      </c>
      <c r="U142" s="215">
        <v>0</v>
      </c>
      <c r="V142" s="215">
        <v>0</v>
      </c>
      <c r="W142" s="220">
        <v>0</v>
      </c>
      <c r="X142" s="214">
        <v>0.53</v>
      </c>
      <c r="Y142" s="215">
        <v>0</v>
      </c>
      <c r="Z142" s="215">
        <v>0</v>
      </c>
      <c r="AA142" s="220">
        <v>0</v>
      </c>
      <c r="AB142" s="214">
        <v>0.55</v>
      </c>
      <c r="AC142" s="215">
        <v>0</v>
      </c>
      <c r="AD142" s="215">
        <v>0</v>
      </c>
    </row>
    <row r="143" spans="1:30" ht="24.75" customHeight="1">
      <c r="A143" s="218" t="s">
        <v>432</v>
      </c>
      <c r="B143" s="231" t="s">
        <v>433</v>
      </c>
      <c r="C143" s="220">
        <v>0</v>
      </c>
      <c r="D143" s="227">
        <v>13.54</v>
      </c>
      <c r="E143" s="215">
        <v>0</v>
      </c>
      <c r="F143" s="215">
        <v>0</v>
      </c>
      <c r="G143" s="220">
        <v>0</v>
      </c>
      <c r="H143" s="214">
        <v>1.53</v>
      </c>
      <c r="I143" s="215">
        <v>0</v>
      </c>
      <c r="J143" s="215">
        <v>0</v>
      </c>
      <c r="K143" s="220">
        <v>0</v>
      </c>
      <c r="L143" s="214">
        <v>19.68</v>
      </c>
      <c r="M143" s="215">
        <v>0</v>
      </c>
      <c r="N143" s="215">
        <v>0</v>
      </c>
      <c r="O143" s="220">
        <v>0</v>
      </c>
      <c r="P143" s="214">
        <v>7.34</v>
      </c>
      <c r="Q143" s="215">
        <v>0</v>
      </c>
      <c r="R143" s="215">
        <v>0</v>
      </c>
      <c r="S143" s="220">
        <v>0</v>
      </c>
      <c r="T143" s="214">
        <v>5.77</v>
      </c>
      <c r="U143" s="215">
        <v>0</v>
      </c>
      <c r="V143" s="215">
        <v>0</v>
      </c>
      <c r="W143" s="220">
        <v>0</v>
      </c>
      <c r="X143" s="214">
        <v>1</v>
      </c>
      <c r="Y143" s="215">
        <v>0</v>
      </c>
      <c r="Z143" s="215">
        <v>0</v>
      </c>
      <c r="AA143" s="220">
        <v>0</v>
      </c>
      <c r="AB143" s="214">
        <v>0.8</v>
      </c>
      <c r="AC143" s="215">
        <v>0</v>
      </c>
      <c r="AD143" s="215">
        <v>0</v>
      </c>
    </row>
    <row r="144" spans="1:30" ht="24.75" customHeight="1">
      <c r="A144" s="218" t="s">
        <v>434</v>
      </c>
      <c r="B144" s="231" t="s">
        <v>435</v>
      </c>
      <c r="C144" s="220">
        <v>0</v>
      </c>
      <c r="D144" s="227">
        <v>27.91</v>
      </c>
      <c r="E144" s="215">
        <v>0</v>
      </c>
      <c r="F144" s="215">
        <v>0</v>
      </c>
      <c r="G144" s="220">
        <v>0</v>
      </c>
      <c r="H144" s="214">
        <v>1.63</v>
      </c>
      <c r="I144" s="215">
        <v>0</v>
      </c>
      <c r="J144" s="215">
        <v>0</v>
      </c>
      <c r="K144" s="220">
        <v>0</v>
      </c>
      <c r="L144" s="214">
        <v>12.06</v>
      </c>
      <c r="M144" s="215">
        <v>0</v>
      </c>
      <c r="N144" s="215">
        <v>0</v>
      </c>
      <c r="O144" s="220">
        <v>0</v>
      </c>
      <c r="P144" s="214">
        <v>9.38</v>
      </c>
      <c r="Q144" s="215">
        <v>0</v>
      </c>
      <c r="R144" s="215">
        <v>0</v>
      </c>
      <c r="S144" s="220">
        <v>0</v>
      </c>
      <c r="T144" s="214">
        <v>4.56</v>
      </c>
      <c r="U144" s="215">
        <v>0</v>
      </c>
      <c r="V144" s="215">
        <v>0</v>
      </c>
      <c r="W144" s="220">
        <v>0</v>
      </c>
      <c r="X144" s="214">
        <v>0.62</v>
      </c>
      <c r="Y144" s="215">
        <v>0</v>
      </c>
      <c r="Z144" s="215">
        <v>0</v>
      </c>
      <c r="AA144" s="220">
        <v>0</v>
      </c>
      <c r="AB144" s="214">
        <v>0.19</v>
      </c>
      <c r="AC144" s="215">
        <v>0</v>
      </c>
      <c r="AD144" s="215">
        <v>0</v>
      </c>
    </row>
    <row r="145" spans="1:30" ht="24.75" customHeight="1">
      <c r="A145" s="218" t="s">
        <v>436</v>
      </c>
      <c r="B145" s="231" t="s">
        <v>437</v>
      </c>
      <c r="C145" s="220">
        <v>0</v>
      </c>
      <c r="D145" s="227">
        <v>16.43</v>
      </c>
      <c r="E145" s="215">
        <v>0</v>
      </c>
      <c r="F145" s="215">
        <v>0</v>
      </c>
      <c r="G145" s="220">
        <v>0</v>
      </c>
      <c r="H145" s="214">
        <v>1.19</v>
      </c>
      <c r="I145" s="215">
        <v>0</v>
      </c>
      <c r="J145" s="215">
        <v>0</v>
      </c>
      <c r="K145" s="220">
        <v>0</v>
      </c>
      <c r="L145" s="214">
        <v>4.49</v>
      </c>
      <c r="M145" s="215">
        <v>0</v>
      </c>
      <c r="N145" s="215">
        <v>0</v>
      </c>
      <c r="O145" s="220">
        <v>0</v>
      </c>
      <c r="P145" s="214">
        <v>3.17</v>
      </c>
      <c r="Q145" s="215">
        <v>0</v>
      </c>
      <c r="R145" s="215">
        <v>0</v>
      </c>
      <c r="S145" s="220">
        <v>0</v>
      </c>
      <c r="T145" s="214">
        <v>3.14</v>
      </c>
      <c r="U145" s="215">
        <v>0</v>
      </c>
      <c r="V145" s="215">
        <v>0</v>
      </c>
      <c r="W145" s="220">
        <v>0</v>
      </c>
      <c r="X145" s="214">
        <v>0.36</v>
      </c>
      <c r="Y145" s="215">
        <v>0</v>
      </c>
      <c r="Z145" s="215">
        <v>0</v>
      </c>
      <c r="AA145" s="220">
        <v>0</v>
      </c>
      <c r="AB145" s="214">
        <v>0.28</v>
      </c>
      <c r="AC145" s="215">
        <v>0</v>
      </c>
      <c r="AD145" s="215">
        <v>0</v>
      </c>
    </row>
    <row r="146" spans="1:30" ht="24.75" customHeight="1">
      <c r="A146" s="218" t="s">
        <v>438</v>
      </c>
      <c r="B146" s="231" t="s">
        <v>439</v>
      </c>
      <c r="C146" s="220">
        <v>0</v>
      </c>
      <c r="D146" s="227">
        <v>16.43</v>
      </c>
      <c r="E146" s="215">
        <v>0</v>
      </c>
      <c r="F146" s="215">
        <v>0</v>
      </c>
      <c r="G146" s="220">
        <v>0</v>
      </c>
      <c r="H146" s="214">
        <v>0.95</v>
      </c>
      <c r="I146" s="215">
        <v>0</v>
      </c>
      <c r="J146" s="215">
        <v>0</v>
      </c>
      <c r="K146" s="220">
        <v>0</v>
      </c>
      <c r="L146" s="214">
        <v>5.13</v>
      </c>
      <c r="M146" s="215">
        <v>0</v>
      </c>
      <c r="N146" s="215">
        <v>0</v>
      </c>
      <c r="O146" s="220">
        <v>0</v>
      </c>
      <c r="P146" s="214">
        <v>2.57</v>
      </c>
      <c r="Q146" s="215">
        <v>0</v>
      </c>
      <c r="R146" s="215">
        <v>0</v>
      </c>
      <c r="S146" s="220">
        <v>0</v>
      </c>
      <c r="T146" s="214">
        <v>2.96</v>
      </c>
      <c r="U146" s="215">
        <v>0</v>
      </c>
      <c r="V146" s="215">
        <v>0</v>
      </c>
      <c r="W146" s="220">
        <v>0</v>
      </c>
      <c r="X146" s="214">
        <v>0.18</v>
      </c>
      <c r="Y146" s="215">
        <v>0</v>
      </c>
      <c r="Z146" s="215">
        <v>0</v>
      </c>
      <c r="AA146" s="220">
        <v>0</v>
      </c>
      <c r="AB146" s="214">
        <v>0.31</v>
      </c>
      <c r="AC146" s="215">
        <v>0</v>
      </c>
      <c r="AD146" s="215">
        <v>0</v>
      </c>
    </row>
    <row r="147" spans="1:30" ht="24.75" customHeight="1">
      <c r="A147" s="229" t="s">
        <v>440</v>
      </c>
      <c r="B147" s="230" t="s">
        <v>441</v>
      </c>
      <c r="C147" s="220">
        <v>0</v>
      </c>
      <c r="D147" s="227">
        <v>34.04</v>
      </c>
      <c r="E147" s="215">
        <v>0</v>
      </c>
      <c r="F147" s="215">
        <v>0</v>
      </c>
      <c r="G147" s="220">
        <v>0</v>
      </c>
      <c r="H147" s="214">
        <v>0.91</v>
      </c>
      <c r="I147" s="215">
        <v>0</v>
      </c>
      <c r="J147" s="215">
        <v>0</v>
      </c>
      <c r="K147" s="220">
        <v>0</v>
      </c>
      <c r="L147" s="214">
        <v>19.68</v>
      </c>
      <c r="M147" s="215">
        <v>0</v>
      </c>
      <c r="N147" s="215">
        <v>0</v>
      </c>
      <c r="O147" s="220">
        <v>0</v>
      </c>
      <c r="P147" s="214">
        <v>7.34</v>
      </c>
      <c r="Q147" s="215">
        <v>0</v>
      </c>
      <c r="R147" s="215">
        <v>0</v>
      </c>
      <c r="S147" s="220">
        <v>0</v>
      </c>
      <c r="T147" s="214">
        <v>5.77</v>
      </c>
      <c r="U147" s="215">
        <v>0</v>
      </c>
      <c r="V147" s="215">
        <v>0</v>
      </c>
      <c r="W147" s="220">
        <v>0</v>
      </c>
      <c r="X147" s="214">
        <v>1</v>
      </c>
      <c r="Y147" s="215">
        <v>0</v>
      </c>
      <c r="Z147" s="215">
        <v>0</v>
      </c>
      <c r="AA147" s="220">
        <v>0</v>
      </c>
      <c r="AB147" s="214">
        <v>2.67</v>
      </c>
      <c r="AC147" s="215">
        <v>0</v>
      </c>
      <c r="AD147" s="215">
        <v>0</v>
      </c>
    </row>
    <row r="148" spans="1:30" ht="24.75" customHeight="1">
      <c r="A148" s="229" t="s">
        <v>442</v>
      </c>
      <c r="B148" s="230" t="s">
        <v>443</v>
      </c>
      <c r="C148" s="220">
        <v>0</v>
      </c>
      <c r="D148" s="227">
        <v>70.03</v>
      </c>
      <c r="E148" s="215">
        <v>0</v>
      </c>
      <c r="F148" s="215">
        <v>0</v>
      </c>
      <c r="G148" s="220">
        <v>0</v>
      </c>
      <c r="H148" s="214">
        <v>1.15</v>
      </c>
      <c r="I148" s="215">
        <v>0</v>
      </c>
      <c r="J148" s="215">
        <v>0</v>
      </c>
      <c r="K148" s="220">
        <v>0</v>
      </c>
      <c r="L148" s="214">
        <v>12.06</v>
      </c>
      <c r="M148" s="215">
        <v>0</v>
      </c>
      <c r="N148" s="215">
        <v>0</v>
      </c>
      <c r="O148" s="220">
        <v>0</v>
      </c>
      <c r="P148" s="214">
        <v>9.38</v>
      </c>
      <c r="Q148" s="215">
        <v>0</v>
      </c>
      <c r="R148" s="215">
        <v>0</v>
      </c>
      <c r="S148" s="220">
        <v>0</v>
      </c>
      <c r="T148" s="214">
        <v>4.56</v>
      </c>
      <c r="U148" s="215">
        <v>0</v>
      </c>
      <c r="V148" s="215">
        <v>0</v>
      </c>
      <c r="W148" s="220">
        <v>0</v>
      </c>
      <c r="X148" s="214">
        <v>0.62</v>
      </c>
      <c r="Y148" s="215">
        <v>0</v>
      </c>
      <c r="Z148" s="215">
        <v>0</v>
      </c>
      <c r="AA148" s="220">
        <v>0</v>
      </c>
      <c r="AB148" s="214">
        <v>1.43</v>
      </c>
      <c r="AC148" s="215">
        <v>0</v>
      </c>
      <c r="AD148" s="215">
        <v>0</v>
      </c>
    </row>
    <row r="149" spans="1:30" ht="24.75" customHeight="1">
      <c r="A149" s="229" t="s">
        <v>444</v>
      </c>
      <c r="B149" s="230" t="s">
        <v>445</v>
      </c>
      <c r="C149" s="220">
        <v>0</v>
      </c>
      <c r="D149" s="227">
        <v>31.92</v>
      </c>
      <c r="E149" s="215">
        <v>0</v>
      </c>
      <c r="F149" s="215">
        <v>0</v>
      </c>
      <c r="G149" s="220">
        <v>0</v>
      </c>
      <c r="H149" s="214">
        <v>0.52</v>
      </c>
      <c r="I149" s="215">
        <v>0</v>
      </c>
      <c r="J149" s="215">
        <v>0</v>
      </c>
      <c r="K149" s="220">
        <v>0</v>
      </c>
      <c r="L149" s="214">
        <v>4.49</v>
      </c>
      <c r="M149" s="215">
        <v>0</v>
      </c>
      <c r="N149" s="215">
        <v>0</v>
      </c>
      <c r="O149" s="220">
        <v>0</v>
      </c>
      <c r="P149" s="214">
        <v>3.17</v>
      </c>
      <c r="Q149" s="215">
        <v>0</v>
      </c>
      <c r="R149" s="215">
        <v>0</v>
      </c>
      <c r="S149" s="220">
        <v>0</v>
      </c>
      <c r="T149" s="214">
        <v>3.14</v>
      </c>
      <c r="U149" s="215">
        <v>0</v>
      </c>
      <c r="V149" s="215">
        <v>0</v>
      </c>
      <c r="W149" s="220">
        <v>0</v>
      </c>
      <c r="X149" s="214">
        <v>0.36</v>
      </c>
      <c r="Y149" s="215">
        <v>0</v>
      </c>
      <c r="Z149" s="215">
        <v>0</v>
      </c>
      <c r="AA149" s="220">
        <v>0</v>
      </c>
      <c r="AB149" s="214">
        <v>1.98</v>
      </c>
      <c r="AC149" s="215">
        <v>0</v>
      </c>
      <c r="AD149" s="215">
        <v>0</v>
      </c>
    </row>
    <row r="150" spans="1:30" ht="24.75" customHeight="1">
      <c r="A150" s="229" t="s">
        <v>446</v>
      </c>
      <c r="B150" s="230" t="s">
        <v>447</v>
      </c>
      <c r="C150" s="220">
        <v>0</v>
      </c>
      <c r="D150" s="227">
        <v>49.53</v>
      </c>
      <c r="E150" s="215">
        <v>0</v>
      </c>
      <c r="F150" s="215">
        <v>0</v>
      </c>
      <c r="G150" s="220">
        <v>0</v>
      </c>
      <c r="H150" s="214">
        <v>0.49</v>
      </c>
      <c r="I150" s="215">
        <v>0</v>
      </c>
      <c r="J150" s="215">
        <v>0</v>
      </c>
      <c r="K150" s="220">
        <v>0</v>
      </c>
      <c r="L150" s="214">
        <v>5.13</v>
      </c>
      <c r="M150" s="215">
        <v>0</v>
      </c>
      <c r="N150" s="215">
        <v>0</v>
      </c>
      <c r="O150" s="220">
        <v>0</v>
      </c>
      <c r="P150" s="214">
        <v>2.57</v>
      </c>
      <c r="Q150" s="215">
        <v>0</v>
      </c>
      <c r="R150" s="215">
        <v>0</v>
      </c>
      <c r="S150" s="220">
        <v>0</v>
      </c>
      <c r="T150" s="214">
        <v>2.96</v>
      </c>
      <c r="U150" s="215">
        <v>0</v>
      </c>
      <c r="V150" s="215">
        <v>0</v>
      </c>
      <c r="W150" s="220">
        <v>0</v>
      </c>
      <c r="X150" s="214">
        <v>0.18</v>
      </c>
      <c r="Y150" s="215">
        <v>0</v>
      </c>
      <c r="Z150" s="215">
        <v>0</v>
      </c>
      <c r="AA150" s="220">
        <v>0</v>
      </c>
      <c r="AB150" s="214">
        <v>1.29</v>
      </c>
      <c r="AC150" s="215">
        <v>0</v>
      </c>
      <c r="AD150" s="215">
        <v>0</v>
      </c>
    </row>
    <row r="151" spans="1:30" ht="24.75" customHeight="1">
      <c r="A151" s="218" t="s">
        <v>448</v>
      </c>
      <c r="B151" s="219" t="s">
        <v>449</v>
      </c>
      <c r="C151" s="214">
        <v>59</v>
      </c>
      <c r="D151" s="220">
        <v>0</v>
      </c>
      <c r="E151" s="215">
        <v>0</v>
      </c>
      <c r="F151" s="215">
        <v>0</v>
      </c>
      <c r="G151" s="214">
        <v>0.17</v>
      </c>
      <c r="H151" s="220">
        <v>0</v>
      </c>
      <c r="I151" s="215">
        <v>0</v>
      </c>
      <c r="J151" s="215">
        <v>0</v>
      </c>
      <c r="K151" s="214">
        <v>10.2</v>
      </c>
      <c r="L151" s="220">
        <v>0</v>
      </c>
      <c r="M151" s="215">
        <v>0</v>
      </c>
      <c r="N151" s="215">
        <v>0</v>
      </c>
      <c r="O151" s="214">
        <v>2.71</v>
      </c>
      <c r="P151" s="220">
        <v>0</v>
      </c>
      <c r="Q151" s="215">
        <v>0</v>
      </c>
      <c r="R151" s="215">
        <v>0</v>
      </c>
      <c r="S151" s="214">
        <v>4.07</v>
      </c>
      <c r="T151" s="220">
        <v>0</v>
      </c>
      <c r="U151" s="215">
        <v>0</v>
      </c>
      <c r="V151" s="215">
        <v>0</v>
      </c>
      <c r="W151" s="214">
        <v>28.75</v>
      </c>
      <c r="X151" s="220">
        <v>0</v>
      </c>
      <c r="Y151" s="215">
        <v>0</v>
      </c>
      <c r="Z151" s="215">
        <v>0</v>
      </c>
      <c r="AA151" s="214">
        <v>3</v>
      </c>
      <c r="AB151" s="220">
        <v>0</v>
      </c>
      <c r="AC151" s="215">
        <v>0</v>
      </c>
      <c r="AD151" s="215">
        <v>0</v>
      </c>
    </row>
    <row r="152" spans="1:30" ht="24.75" customHeight="1">
      <c r="A152" s="218" t="s">
        <v>450</v>
      </c>
      <c r="B152" s="219" t="s">
        <v>451</v>
      </c>
      <c r="C152" s="220">
        <v>0</v>
      </c>
      <c r="D152" s="214">
        <v>147.5</v>
      </c>
      <c r="E152" s="215">
        <v>0</v>
      </c>
      <c r="F152" s="215">
        <v>0</v>
      </c>
      <c r="G152" s="220">
        <v>0</v>
      </c>
      <c r="H152" s="214">
        <v>1.28</v>
      </c>
      <c r="I152" s="215">
        <v>0</v>
      </c>
      <c r="J152" s="215">
        <v>0</v>
      </c>
      <c r="K152" s="220">
        <v>0</v>
      </c>
      <c r="L152" s="214">
        <v>15</v>
      </c>
      <c r="M152" s="215">
        <v>0</v>
      </c>
      <c r="N152" s="215">
        <v>0</v>
      </c>
      <c r="O152" s="220">
        <v>0</v>
      </c>
      <c r="P152" s="214">
        <v>140</v>
      </c>
      <c r="Q152" s="215">
        <v>0</v>
      </c>
      <c r="R152" s="215">
        <v>0</v>
      </c>
      <c r="S152" s="220">
        <v>0</v>
      </c>
      <c r="T152" s="214">
        <v>68.26</v>
      </c>
      <c r="U152" s="215">
        <v>0</v>
      </c>
      <c r="V152" s="215">
        <v>0</v>
      </c>
      <c r="W152" s="220">
        <v>0</v>
      </c>
      <c r="X152" s="214">
        <v>30.63</v>
      </c>
      <c r="Y152" s="215">
        <v>0</v>
      </c>
      <c r="Z152" s="215">
        <v>0</v>
      </c>
      <c r="AA152" s="220">
        <v>0</v>
      </c>
      <c r="AB152" s="214">
        <v>3</v>
      </c>
      <c r="AC152" s="215">
        <v>0</v>
      </c>
      <c r="AD152" s="215">
        <v>0</v>
      </c>
    </row>
    <row r="153" spans="1:30" ht="24.75" customHeight="1">
      <c r="A153" s="147" t="s">
        <v>452</v>
      </c>
      <c r="B153" s="213" t="s">
        <v>453</v>
      </c>
      <c r="C153" s="220">
        <v>0</v>
      </c>
      <c r="D153" s="220">
        <v>0</v>
      </c>
      <c r="E153" s="221">
        <v>175</v>
      </c>
      <c r="F153" s="221">
        <v>175</v>
      </c>
      <c r="G153" s="220">
        <v>0</v>
      </c>
      <c r="H153" s="220">
        <v>0</v>
      </c>
      <c r="I153" s="221">
        <v>200</v>
      </c>
      <c r="J153" s="221">
        <v>200</v>
      </c>
      <c r="K153" s="220">
        <v>0</v>
      </c>
      <c r="L153" s="220">
        <v>0</v>
      </c>
      <c r="M153" s="221">
        <v>110</v>
      </c>
      <c r="N153" s="221">
        <v>110</v>
      </c>
      <c r="O153" s="220">
        <v>0</v>
      </c>
      <c r="P153" s="220">
        <v>0</v>
      </c>
      <c r="Q153" s="221">
        <v>200</v>
      </c>
      <c r="R153" s="221">
        <v>200</v>
      </c>
      <c r="S153" s="220">
        <v>0</v>
      </c>
      <c r="T153" s="220">
        <v>0</v>
      </c>
      <c r="U153" s="221">
        <v>193</v>
      </c>
      <c r="V153" s="221">
        <v>180</v>
      </c>
      <c r="W153" s="220">
        <v>0</v>
      </c>
      <c r="X153" s="220">
        <v>0</v>
      </c>
      <c r="Y153" s="221">
        <v>200</v>
      </c>
      <c r="Z153" s="221">
        <v>200</v>
      </c>
      <c r="AA153" s="220">
        <v>0</v>
      </c>
      <c r="AB153" s="220">
        <v>0</v>
      </c>
      <c r="AC153" s="221">
        <v>209</v>
      </c>
      <c r="AD153" s="221">
        <v>209</v>
      </c>
    </row>
    <row r="154" spans="1:30" ht="24.75" customHeight="1">
      <c r="A154" s="147" t="s">
        <v>454</v>
      </c>
      <c r="B154" s="213" t="s">
        <v>455</v>
      </c>
      <c r="C154" s="220">
        <v>0</v>
      </c>
      <c r="D154" s="220">
        <v>0</v>
      </c>
      <c r="E154" s="215">
        <v>0</v>
      </c>
      <c r="F154" s="221">
        <v>122</v>
      </c>
      <c r="G154" s="220">
        <v>0</v>
      </c>
      <c r="H154" s="220">
        <v>0</v>
      </c>
      <c r="I154" s="215">
        <v>0</v>
      </c>
      <c r="J154" s="221">
        <v>140</v>
      </c>
      <c r="K154" s="220">
        <v>0</v>
      </c>
      <c r="L154" s="220">
        <v>0</v>
      </c>
      <c r="M154" s="215">
        <v>0</v>
      </c>
      <c r="N154" s="221">
        <v>110</v>
      </c>
      <c r="O154" s="220">
        <v>0</v>
      </c>
      <c r="P154" s="220">
        <v>0</v>
      </c>
      <c r="Q154" s="215">
        <v>0</v>
      </c>
      <c r="R154" s="221">
        <v>150</v>
      </c>
      <c r="S154" s="220">
        <v>0</v>
      </c>
      <c r="T154" s="220">
        <v>0</v>
      </c>
      <c r="U154" s="215">
        <v>0</v>
      </c>
      <c r="V154" s="221">
        <v>130</v>
      </c>
      <c r="W154" s="220">
        <v>0</v>
      </c>
      <c r="X154" s="220">
        <v>0</v>
      </c>
      <c r="Y154" s="215">
        <v>0</v>
      </c>
      <c r="Z154" s="221">
        <v>150</v>
      </c>
      <c r="AA154" s="220">
        <v>0</v>
      </c>
      <c r="AB154" s="220">
        <v>0</v>
      </c>
      <c r="AC154" s="215">
        <v>0</v>
      </c>
      <c r="AD154" s="221">
        <v>146</v>
      </c>
    </row>
    <row r="155" spans="1:30" ht="24.75" customHeight="1">
      <c r="A155" s="147" t="s">
        <v>456</v>
      </c>
      <c r="B155" s="213" t="s">
        <v>457</v>
      </c>
      <c r="C155" s="220">
        <v>0</v>
      </c>
      <c r="D155" s="220">
        <v>0</v>
      </c>
      <c r="E155" s="221">
        <v>175</v>
      </c>
      <c r="F155" s="221">
        <v>175</v>
      </c>
      <c r="G155" s="220">
        <v>0</v>
      </c>
      <c r="H155" s="220">
        <v>0</v>
      </c>
      <c r="I155" s="221">
        <v>300</v>
      </c>
      <c r="J155" s="221">
        <v>300</v>
      </c>
      <c r="K155" s="220">
        <v>0</v>
      </c>
      <c r="L155" s="220">
        <v>0</v>
      </c>
      <c r="M155" s="221">
        <v>110</v>
      </c>
      <c r="N155" s="221">
        <v>120</v>
      </c>
      <c r="O155" s="220">
        <v>0</v>
      </c>
      <c r="P155" s="220">
        <v>0</v>
      </c>
      <c r="Q155" s="221">
        <v>240</v>
      </c>
      <c r="R155" s="221">
        <v>240</v>
      </c>
      <c r="S155" s="220">
        <v>0</v>
      </c>
      <c r="T155" s="220">
        <v>0</v>
      </c>
      <c r="U155" s="221">
        <v>193</v>
      </c>
      <c r="V155" s="221">
        <v>191</v>
      </c>
      <c r="W155" s="220">
        <v>0</v>
      </c>
      <c r="X155" s="220">
        <v>0</v>
      </c>
      <c r="Y155" s="221">
        <v>200</v>
      </c>
      <c r="Z155" s="221">
        <v>220</v>
      </c>
      <c r="AA155" s="220">
        <v>0</v>
      </c>
      <c r="AB155" s="220">
        <v>0</v>
      </c>
      <c r="AC155" s="221">
        <v>256</v>
      </c>
      <c r="AD155" s="221">
        <v>256</v>
      </c>
    </row>
    <row r="156" spans="1:30" ht="24.75" customHeight="1">
      <c r="A156" s="218" t="s">
        <v>158</v>
      </c>
      <c r="B156" s="219" t="s">
        <v>458</v>
      </c>
      <c r="C156" s="214">
        <v>690</v>
      </c>
      <c r="D156" s="220">
        <v>0</v>
      </c>
      <c r="E156" s="215">
        <v>0</v>
      </c>
      <c r="F156" s="215">
        <v>0</v>
      </c>
      <c r="G156" s="214">
        <v>275</v>
      </c>
      <c r="H156" s="220">
        <v>0</v>
      </c>
      <c r="I156" s="215">
        <v>0</v>
      </c>
      <c r="J156" s="215">
        <v>0</v>
      </c>
      <c r="K156" s="214">
        <v>440</v>
      </c>
      <c r="L156" s="220">
        <v>0</v>
      </c>
      <c r="M156" s="215">
        <v>0</v>
      </c>
      <c r="N156" s="215">
        <v>0</v>
      </c>
      <c r="O156" s="214">
        <v>380</v>
      </c>
      <c r="P156" s="220">
        <v>0</v>
      </c>
      <c r="Q156" s="215">
        <v>0</v>
      </c>
      <c r="R156" s="215">
        <v>0</v>
      </c>
      <c r="S156" s="214">
        <v>320.76</v>
      </c>
      <c r="T156" s="220">
        <v>0</v>
      </c>
      <c r="U156" s="215">
        <v>0</v>
      </c>
      <c r="V156" s="215">
        <v>0</v>
      </c>
      <c r="W156" s="214">
        <v>398</v>
      </c>
      <c r="X156" s="220">
        <v>0</v>
      </c>
      <c r="Y156" s="215">
        <v>0</v>
      </c>
      <c r="Z156" s="215">
        <v>0</v>
      </c>
      <c r="AA156" s="214">
        <v>402</v>
      </c>
      <c r="AB156" s="220">
        <v>0</v>
      </c>
      <c r="AC156" s="215">
        <v>0</v>
      </c>
      <c r="AD156" s="215">
        <v>0</v>
      </c>
    </row>
    <row r="157" spans="1:30" ht="24.75" customHeight="1">
      <c r="A157" s="218" t="s">
        <v>160</v>
      </c>
      <c r="B157" s="219" t="s">
        <v>459</v>
      </c>
      <c r="C157" s="214">
        <v>320</v>
      </c>
      <c r="D157" s="220">
        <v>0</v>
      </c>
      <c r="E157" s="215">
        <v>0</v>
      </c>
      <c r="F157" s="215">
        <v>0</v>
      </c>
      <c r="G157" s="214">
        <v>247.5</v>
      </c>
      <c r="H157" s="220">
        <v>0</v>
      </c>
      <c r="I157" s="215">
        <v>0</v>
      </c>
      <c r="J157" s="215">
        <v>0</v>
      </c>
      <c r="K157" s="214">
        <v>500</v>
      </c>
      <c r="L157" s="220">
        <v>0</v>
      </c>
      <c r="M157" s="215">
        <v>0</v>
      </c>
      <c r="N157" s="215">
        <v>0</v>
      </c>
      <c r="O157" s="214">
        <v>280</v>
      </c>
      <c r="P157" s="220">
        <v>0</v>
      </c>
      <c r="Q157" s="215">
        <v>0</v>
      </c>
      <c r="R157" s="215">
        <v>0</v>
      </c>
      <c r="S157" s="214">
        <v>307.84</v>
      </c>
      <c r="T157" s="220">
        <v>0</v>
      </c>
      <c r="U157" s="215">
        <v>0</v>
      </c>
      <c r="V157" s="215">
        <v>0</v>
      </c>
      <c r="W157" s="214">
        <v>306</v>
      </c>
      <c r="X157" s="220">
        <v>0</v>
      </c>
      <c r="Y157" s="215">
        <v>0</v>
      </c>
      <c r="Z157" s="215">
        <v>0</v>
      </c>
      <c r="AA157" s="214">
        <v>369.6</v>
      </c>
      <c r="AB157" s="220">
        <v>0</v>
      </c>
      <c r="AC157" s="215">
        <v>0</v>
      </c>
      <c r="AD157" s="215">
        <v>0</v>
      </c>
    </row>
    <row r="158" spans="1:30" ht="24.75" customHeight="1">
      <c r="A158" s="218" t="s">
        <v>162</v>
      </c>
      <c r="B158" s="219" t="s">
        <v>460</v>
      </c>
      <c r="C158" s="214">
        <v>210</v>
      </c>
      <c r="D158" s="220">
        <v>0</v>
      </c>
      <c r="E158" s="215">
        <v>0</v>
      </c>
      <c r="F158" s="215">
        <v>0</v>
      </c>
      <c r="G158" s="214">
        <v>192.5</v>
      </c>
      <c r="H158" s="220">
        <v>0</v>
      </c>
      <c r="I158" s="215">
        <v>0</v>
      </c>
      <c r="J158" s="215">
        <v>0</v>
      </c>
      <c r="K158" s="214">
        <v>300</v>
      </c>
      <c r="L158" s="220">
        <v>0</v>
      </c>
      <c r="M158" s="215">
        <v>0</v>
      </c>
      <c r="N158" s="215">
        <v>0</v>
      </c>
      <c r="O158" s="214">
        <v>210</v>
      </c>
      <c r="P158" s="220">
        <v>0</v>
      </c>
      <c r="Q158" s="215">
        <v>0</v>
      </c>
      <c r="R158" s="215">
        <v>0</v>
      </c>
      <c r="S158" s="214">
        <v>281.99</v>
      </c>
      <c r="T158" s="220">
        <v>0</v>
      </c>
      <c r="U158" s="215">
        <v>0</v>
      </c>
      <c r="V158" s="215">
        <v>0</v>
      </c>
      <c r="W158" s="214">
        <v>214</v>
      </c>
      <c r="X158" s="220">
        <v>0</v>
      </c>
      <c r="Y158" s="215">
        <v>0</v>
      </c>
      <c r="Z158" s="215">
        <v>0</v>
      </c>
      <c r="AA158" s="214">
        <v>319.2</v>
      </c>
      <c r="AB158" s="220">
        <v>0</v>
      </c>
      <c r="AC158" s="215">
        <v>0</v>
      </c>
      <c r="AD158" s="215">
        <v>0</v>
      </c>
    </row>
    <row r="159" spans="1:30" ht="24.75" customHeight="1">
      <c r="A159" s="218" t="s">
        <v>164</v>
      </c>
      <c r="B159" s="219" t="s">
        <v>461</v>
      </c>
      <c r="C159" s="214">
        <v>690</v>
      </c>
      <c r="D159" s="220">
        <v>0</v>
      </c>
      <c r="E159" s="215">
        <v>0</v>
      </c>
      <c r="F159" s="215">
        <v>0</v>
      </c>
      <c r="G159" s="214">
        <v>275</v>
      </c>
      <c r="H159" s="220">
        <v>0</v>
      </c>
      <c r="I159" s="215">
        <v>0</v>
      </c>
      <c r="J159" s="215">
        <v>0</v>
      </c>
      <c r="K159" s="214">
        <v>440</v>
      </c>
      <c r="L159" s="220">
        <v>0</v>
      </c>
      <c r="M159" s="215">
        <v>0</v>
      </c>
      <c r="N159" s="215">
        <v>0</v>
      </c>
      <c r="O159" s="214">
        <v>380</v>
      </c>
      <c r="P159" s="220">
        <v>0</v>
      </c>
      <c r="Q159" s="215">
        <v>0</v>
      </c>
      <c r="R159" s="215">
        <v>0</v>
      </c>
      <c r="S159" s="214">
        <v>320.76</v>
      </c>
      <c r="T159" s="220">
        <v>0</v>
      </c>
      <c r="U159" s="215">
        <v>0</v>
      </c>
      <c r="V159" s="215">
        <v>0</v>
      </c>
      <c r="W159" s="214">
        <v>398</v>
      </c>
      <c r="X159" s="220">
        <v>0</v>
      </c>
      <c r="Y159" s="215">
        <v>0</v>
      </c>
      <c r="Z159" s="215">
        <v>0</v>
      </c>
      <c r="AA159" s="214">
        <v>402</v>
      </c>
      <c r="AB159" s="220">
        <v>0</v>
      </c>
      <c r="AC159" s="215">
        <v>0</v>
      </c>
      <c r="AD159" s="215">
        <v>0</v>
      </c>
    </row>
    <row r="160" spans="1:30" ht="24.75" customHeight="1">
      <c r="A160" s="218" t="s">
        <v>166</v>
      </c>
      <c r="B160" s="219" t="s">
        <v>462</v>
      </c>
      <c r="C160" s="214">
        <v>320</v>
      </c>
      <c r="D160" s="220">
        <v>0</v>
      </c>
      <c r="E160" s="215">
        <v>0</v>
      </c>
      <c r="F160" s="215">
        <v>0</v>
      </c>
      <c r="G160" s="214">
        <v>247.5</v>
      </c>
      <c r="H160" s="220">
        <v>0</v>
      </c>
      <c r="I160" s="215">
        <v>0</v>
      </c>
      <c r="J160" s="215">
        <v>0</v>
      </c>
      <c r="K160" s="214">
        <v>570</v>
      </c>
      <c r="L160" s="220">
        <v>0</v>
      </c>
      <c r="M160" s="215">
        <v>0</v>
      </c>
      <c r="N160" s="215">
        <v>0</v>
      </c>
      <c r="O160" s="214">
        <v>280</v>
      </c>
      <c r="P160" s="220">
        <v>0</v>
      </c>
      <c r="Q160" s="215">
        <v>0</v>
      </c>
      <c r="R160" s="215">
        <v>0</v>
      </c>
      <c r="S160" s="214">
        <v>307.84</v>
      </c>
      <c r="T160" s="220">
        <v>0</v>
      </c>
      <c r="U160" s="215">
        <v>0</v>
      </c>
      <c r="V160" s="215">
        <v>0</v>
      </c>
      <c r="W160" s="214">
        <v>306</v>
      </c>
      <c r="X160" s="220">
        <v>0</v>
      </c>
      <c r="Y160" s="215">
        <v>0</v>
      </c>
      <c r="Z160" s="215">
        <v>0</v>
      </c>
      <c r="AA160" s="214">
        <v>369.6</v>
      </c>
      <c r="AB160" s="220">
        <v>0</v>
      </c>
      <c r="AC160" s="215">
        <v>0</v>
      </c>
      <c r="AD160" s="215">
        <v>0</v>
      </c>
    </row>
    <row r="161" spans="1:30" ht="24.75" customHeight="1">
      <c r="A161" s="218" t="s">
        <v>168</v>
      </c>
      <c r="B161" s="219" t="s">
        <v>463</v>
      </c>
      <c r="C161" s="214">
        <v>210</v>
      </c>
      <c r="D161" s="220">
        <v>0</v>
      </c>
      <c r="E161" s="215">
        <v>0</v>
      </c>
      <c r="F161" s="215">
        <v>0</v>
      </c>
      <c r="G161" s="214">
        <v>192.5</v>
      </c>
      <c r="H161" s="220">
        <v>0</v>
      </c>
      <c r="I161" s="215">
        <v>0</v>
      </c>
      <c r="J161" s="215">
        <v>0</v>
      </c>
      <c r="K161" s="214">
        <v>300</v>
      </c>
      <c r="L161" s="220">
        <v>0</v>
      </c>
      <c r="M161" s="215">
        <v>0</v>
      </c>
      <c r="N161" s="215">
        <v>0</v>
      </c>
      <c r="O161" s="214">
        <v>210</v>
      </c>
      <c r="P161" s="220">
        <v>0</v>
      </c>
      <c r="Q161" s="215">
        <v>0</v>
      </c>
      <c r="R161" s="215">
        <v>0</v>
      </c>
      <c r="S161" s="214">
        <v>281.99</v>
      </c>
      <c r="T161" s="220">
        <v>0</v>
      </c>
      <c r="U161" s="215">
        <v>0</v>
      </c>
      <c r="V161" s="215">
        <v>0</v>
      </c>
      <c r="W161" s="214">
        <v>214</v>
      </c>
      <c r="X161" s="220">
        <v>0</v>
      </c>
      <c r="Y161" s="215">
        <v>0</v>
      </c>
      <c r="Z161" s="215">
        <v>0</v>
      </c>
      <c r="AA161" s="214">
        <v>319.2</v>
      </c>
      <c r="AB161" s="220">
        <v>0</v>
      </c>
      <c r="AC161" s="215">
        <v>0</v>
      </c>
      <c r="AD161" s="215">
        <v>0</v>
      </c>
    </row>
    <row r="162" spans="1:30" ht="24.75" customHeight="1">
      <c r="A162" s="218" t="s">
        <v>170</v>
      </c>
      <c r="B162" s="219" t="s">
        <v>464</v>
      </c>
      <c r="C162" s="214">
        <v>690</v>
      </c>
      <c r="D162" s="220">
        <v>0</v>
      </c>
      <c r="E162" s="215">
        <v>0</v>
      </c>
      <c r="F162" s="215">
        <v>0</v>
      </c>
      <c r="G162" s="214">
        <v>275</v>
      </c>
      <c r="H162" s="220">
        <v>0</v>
      </c>
      <c r="I162" s="215">
        <v>0</v>
      </c>
      <c r="J162" s="215">
        <v>0</v>
      </c>
      <c r="K162" s="214">
        <v>440</v>
      </c>
      <c r="L162" s="220">
        <v>0</v>
      </c>
      <c r="M162" s="215">
        <v>0</v>
      </c>
      <c r="N162" s="215">
        <v>0</v>
      </c>
      <c r="O162" s="214">
        <v>380</v>
      </c>
      <c r="P162" s="220">
        <v>0</v>
      </c>
      <c r="Q162" s="215">
        <v>0</v>
      </c>
      <c r="R162" s="215">
        <v>0</v>
      </c>
      <c r="S162" s="214">
        <v>320.76</v>
      </c>
      <c r="T162" s="220">
        <v>0</v>
      </c>
      <c r="U162" s="215">
        <v>0</v>
      </c>
      <c r="V162" s="215">
        <v>0</v>
      </c>
      <c r="W162" s="214">
        <v>398</v>
      </c>
      <c r="X162" s="220">
        <v>0</v>
      </c>
      <c r="Y162" s="215">
        <v>0</v>
      </c>
      <c r="Z162" s="215">
        <v>0</v>
      </c>
      <c r="AA162" s="214">
        <v>402</v>
      </c>
      <c r="AB162" s="220">
        <v>0</v>
      </c>
      <c r="AC162" s="215">
        <v>0</v>
      </c>
      <c r="AD162" s="215">
        <v>0</v>
      </c>
    </row>
    <row r="163" spans="1:30" ht="24.75" customHeight="1">
      <c r="A163" s="218" t="s">
        <v>172</v>
      </c>
      <c r="B163" s="219" t="s">
        <v>465</v>
      </c>
      <c r="C163" s="214">
        <v>320</v>
      </c>
      <c r="D163" s="220">
        <v>0</v>
      </c>
      <c r="E163" s="215">
        <v>0</v>
      </c>
      <c r="F163" s="215">
        <v>0</v>
      </c>
      <c r="G163" s="214">
        <v>247.5</v>
      </c>
      <c r="H163" s="220">
        <v>0</v>
      </c>
      <c r="I163" s="215">
        <v>0</v>
      </c>
      <c r="J163" s="215">
        <v>0</v>
      </c>
      <c r="K163" s="214">
        <v>570</v>
      </c>
      <c r="L163" s="220">
        <v>0</v>
      </c>
      <c r="M163" s="215">
        <v>0</v>
      </c>
      <c r="N163" s="215">
        <v>0</v>
      </c>
      <c r="O163" s="214">
        <v>280</v>
      </c>
      <c r="P163" s="220">
        <v>0</v>
      </c>
      <c r="Q163" s="215">
        <v>0</v>
      </c>
      <c r="R163" s="215">
        <v>0</v>
      </c>
      <c r="S163" s="214">
        <v>307.84</v>
      </c>
      <c r="T163" s="220">
        <v>0</v>
      </c>
      <c r="U163" s="215">
        <v>0</v>
      </c>
      <c r="V163" s="215">
        <v>0</v>
      </c>
      <c r="W163" s="214">
        <v>306</v>
      </c>
      <c r="X163" s="220">
        <v>0</v>
      </c>
      <c r="Y163" s="215">
        <v>0</v>
      </c>
      <c r="Z163" s="215">
        <v>0</v>
      </c>
      <c r="AA163" s="214">
        <v>385</v>
      </c>
      <c r="AB163" s="220">
        <v>0</v>
      </c>
      <c r="AC163" s="215">
        <v>0</v>
      </c>
      <c r="AD163" s="215">
        <v>0</v>
      </c>
    </row>
    <row r="164" spans="1:30" ht="24.75" customHeight="1">
      <c r="A164" s="218" t="s">
        <v>174</v>
      </c>
      <c r="B164" s="219" t="s">
        <v>466</v>
      </c>
      <c r="C164" s="214">
        <v>210</v>
      </c>
      <c r="D164" s="220">
        <v>0</v>
      </c>
      <c r="E164" s="215">
        <v>0</v>
      </c>
      <c r="F164" s="215">
        <v>0</v>
      </c>
      <c r="G164" s="214">
        <v>192.5</v>
      </c>
      <c r="H164" s="220">
        <v>0</v>
      </c>
      <c r="I164" s="215">
        <v>0</v>
      </c>
      <c r="J164" s="215">
        <v>0</v>
      </c>
      <c r="K164" s="214">
        <v>350</v>
      </c>
      <c r="L164" s="220">
        <v>0</v>
      </c>
      <c r="M164" s="215">
        <v>0</v>
      </c>
      <c r="N164" s="215">
        <v>0</v>
      </c>
      <c r="O164" s="214">
        <v>210</v>
      </c>
      <c r="P164" s="220">
        <v>0</v>
      </c>
      <c r="Q164" s="215">
        <v>0</v>
      </c>
      <c r="R164" s="215">
        <v>0</v>
      </c>
      <c r="S164" s="214">
        <v>281.99</v>
      </c>
      <c r="T164" s="220">
        <v>0</v>
      </c>
      <c r="U164" s="215">
        <v>0</v>
      </c>
      <c r="V164" s="215">
        <v>0</v>
      </c>
      <c r="W164" s="214">
        <v>214</v>
      </c>
      <c r="X164" s="220">
        <v>0</v>
      </c>
      <c r="Y164" s="215">
        <v>0</v>
      </c>
      <c r="Z164" s="215">
        <v>0</v>
      </c>
      <c r="AA164" s="214">
        <v>326.8</v>
      </c>
      <c r="AB164" s="220">
        <v>0</v>
      </c>
      <c r="AC164" s="215">
        <v>0</v>
      </c>
      <c r="AD164" s="215">
        <v>0</v>
      </c>
    </row>
    <row r="165" spans="1:30" ht="24.75" customHeight="1">
      <c r="A165" s="218" t="s">
        <v>176</v>
      </c>
      <c r="B165" s="219" t="s">
        <v>467</v>
      </c>
      <c r="C165" s="214">
        <v>690</v>
      </c>
      <c r="D165" s="220">
        <v>0</v>
      </c>
      <c r="E165" s="215">
        <v>0</v>
      </c>
      <c r="F165" s="215">
        <v>0</v>
      </c>
      <c r="G165" s="214">
        <v>275</v>
      </c>
      <c r="H165" s="220">
        <v>0</v>
      </c>
      <c r="I165" s="215">
        <v>0</v>
      </c>
      <c r="J165" s="215">
        <v>0</v>
      </c>
      <c r="K165" s="214">
        <v>375</v>
      </c>
      <c r="L165" s="220">
        <v>0</v>
      </c>
      <c r="M165" s="215">
        <v>0</v>
      </c>
      <c r="N165" s="215">
        <v>0</v>
      </c>
      <c r="O165" s="214">
        <v>380</v>
      </c>
      <c r="P165" s="220">
        <v>0</v>
      </c>
      <c r="Q165" s="215">
        <v>0</v>
      </c>
      <c r="R165" s="215">
        <v>0</v>
      </c>
      <c r="S165" s="214">
        <v>320.76</v>
      </c>
      <c r="T165" s="220">
        <v>0</v>
      </c>
      <c r="U165" s="215">
        <v>0</v>
      </c>
      <c r="V165" s="215">
        <v>0</v>
      </c>
      <c r="W165" s="214">
        <v>398</v>
      </c>
      <c r="X165" s="220">
        <v>0</v>
      </c>
      <c r="Y165" s="215">
        <v>0</v>
      </c>
      <c r="Z165" s="215">
        <v>0</v>
      </c>
      <c r="AA165" s="214">
        <v>402</v>
      </c>
      <c r="AB165" s="220">
        <v>0</v>
      </c>
      <c r="AC165" s="215">
        <v>0</v>
      </c>
      <c r="AD165" s="215">
        <v>0</v>
      </c>
    </row>
    <row r="166" spans="1:30" ht="24.75" customHeight="1">
      <c r="A166" s="218" t="s">
        <v>178</v>
      </c>
      <c r="B166" s="219" t="s">
        <v>468</v>
      </c>
      <c r="C166" s="214">
        <v>320</v>
      </c>
      <c r="D166" s="220">
        <v>0</v>
      </c>
      <c r="E166" s="215">
        <v>0</v>
      </c>
      <c r="F166" s="215">
        <v>0</v>
      </c>
      <c r="G166" s="214">
        <v>247.5</v>
      </c>
      <c r="H166" s="220">
        <v>0</v>
      </c>
      <c r="I166" s="215">
        <v>0</v>
      </c>
      <c r="J166" s="215">
        <v>0</v>
      </c>
      <c r="K166" s="214">
        <v>500</v>
      </c>
      <c r="L166" s="220">
        <v>0</v>
      </c>
      <c r="M166" s="215">
        <v>0</v>
      </c>
      <c r="N166" s="215">
        <v>0</v>
      </c>
      <c r="O166" s="214">
        <v>280</v>
      </c>
      <c r="P166" s="220">
        <v>0</v>
      </c>
      <c r="Q166" s="215">
        <v>0</v>
      </c>
      <c r="R166" s="215">
        <v>0</v>
      </c>
      <c r="S166" s="214">
        <v>307.84</v>
      </c>
      <c r="T166" s="220">
        <v>0</v>
      </c>
      <c r="U166" s="215">
        <v>0</v>
      </c>
      <c r="V166" s="215">
        <v>0</v>
      </c>
      <c r="W166" s="214">
        <v>306</v>
      </c>
      <c r="X166" s="220">
        <v>0</v>
      </c>
      <c r="Y166" s="215">
        <v>0</v>
      </c>
      <c r="Z166" s="215">
        <v>0</v>
      </c>
      <c r="AA166" s="214">
        <v>385</v>
      </c>
      <c r="AB166" s="220">
        <v>0</v>
      </c>
      <c r="AC166" s="215">
        <v>0</v>
      </c>
      <c r="AD166" s="215">
        <v>0</v>
      </c>
    </row>
    <row r="167" spans="1:30" ht="24.75" customHeight="1">
      <c r="A167" s="218" t="s">
        <v>180</v>
      </c>
      <c r="B167" s="219" t="s">
        <v>469</v>
      </c>
      <c r="C167" s="214">
        <v>210</v>
      </c>
      <c r="D167" s="220">
        <v>0</v>
      </c>
      <c r="E167" s="215">
        <v>0</v>
      </c>
      <c r="F167" s="215">
        <v>0</v>
      </c>
      <c r="G167" s="214">
        <v>192.5</v>
      </c>
      <c r="H167" s="220">
        <v>0</v>
      </c>
      <c r="I167" s="215">
        <v>0</v>
      </c>
      <c r="J167" s="215">
        <v>0</v>
      </c>
      <c r="K167" s="214">
        <v>350</v>
      </c>
      <c r="L167" s="220">
        <v>0</v>
      </c>
      <c r="M167" s="215">
        <v>0</v>
      </c>
      <c r="N167" s="215">
        <v>0</v>
      </c>
      <c r="O167" s="214">
        <v>210</v>
      </c>
      <c r="P167" s="220">
        <v>0</v>
      </c>
      <c r="Q167" s="215">
        <v>0</v>
      </c>
      <c r="R167" s="215">
        <v>0</v>
      </c>
      <c r="S167" s="214">
        <v>281.99</v>
      </c>
      <c r="T167" s="220">
        <v>0</v>
      </c>
      <c r="U167" s="215">
        <v>0</v>
      </c>
      <c r="V167" s="215">
        <v>0</v>
      </c>
      <c r="W167" s="214">
        <v>214</v>
      </c>
      <c r="X167" s="220">
        <v>0</v>
      </c>
      <c r="Y167" s="215">
        <v>0</v>
      </c>
      <c r="Z167" s="215">
        <v>0</v>
      </c>
      <c r="AA167" s="214">
        <v>326.8</v>
      </c>
      <c r="AB167" s="220">
        <v>0</v>
      </c>
      <c r="AC167" s="215">
        <v>0</v>
      </c>
      <c r="AD167" s="215">
        <v>0</v>
      </c>
    </row>
    <row r="168" spans="1:30" ht="24.75" customHeight="1">
      <c r="A168" s="218" t="s">
        <v>182</v>
      </c>
      <c r="B168" s="219" t="s">
        <v>470</v>
      </c>
      <c r="C168" s="214">
        <v>690</v>
      </c>
      <c r="D168" s="220">
        <v>0</v>
      </c>
      <c r="E168" s="215">
        <v>0</v>
      </c>
      <c r="F168" s="215">
        <v>0</v>
      </c>
      <c r="G168" s="214">
        <v>275</v>
      </c>
      <c r="H168" s="220">
        <v>0</v>
      </c>
      <c r="I168" s="215">
        <v>0</v>
      </c>
      <c r="J168" s="215">
        <v>0</v>
      </c>
      <c r="K168" s="214">
        <v>440</v>
      </c>
      <c r="L168" s="220">
        <v>0</v>
      </c>
      <c r="M168" s="215">
        <v>0</v>
      </c>
      <c r="N168" s="215">
        <v>0</v>
      </c>
      <c r="O168" s="214">
        <v>380</v>
      </c>
      <c r="P168" s="220">
        <v>0</v>
      </c>
      <c r="Q168" s="215">
        <v>0</v>
      </c>
      <c r="R168" s="215">
        <v>0</v>
      </c>
      <c r="S168" s="214">
        <v>320.76</v>
      </c>
      <c r="T168" s="220">
        <v>0</v>
      </c>
      <c r="U168" s="215">
        <v>0</v>
      </c>
      <c r="V168" s="215">
        <v>0</v>
      </c>
      <c r="W168" s="214">
        <v>398</v>
      </c>
      <c r="X168" s="220">
        <v>0</v>
      </c>
      <c r="Y168" s="215">
        <v>0</v>
      </c>
      <c r="Z168" s="215">
        <v>0</v>
      </c>
      <c r="AA168" s="214">
        <v>402</v>
      </c>
      <c r="AB168" s="220">
        <v>0</v>
      </c>
      <c r="AC168" s="215">
        <v>0</v>
      </c>
      <c r="AD168" s="215">
        <v>0</v>
      </c>
    </row>
    <row r="169" spans="1:30" ht="24.75" customHeight="1">
      <c r="A169" s="218" t="s">
        <v>184</v>
      </c>
      <c r="B169" s="219" t="s">
        <v>471</v>
      </c>
      <c r="C169" s="214">
        <v>320</v>
      </c>
      <c r="D169" s="220">
        <v>0</v>
      </c>
      <c r="E169" s="215">
        <v>0</v>
      </c>
      <c r="F169" s="215">
        <v>0</v>
      </c>
      <c r="G169" s="214">
        <v>247.5</v>
      </c>
      <c r="H169" s="220">
        <v>0</v>
      </c>
      <c r="I169" s="215">
        <v>0</v>
      </c>
      <c r="J169" s="215">
        <v>0</v>
      </c>
      <c r="K169" s="214">
        <v>500</v>
      </c>
      <c r="L169" s="220">
        <v>0</v>
      </c>
      <c r="M169" s="215">
        <v>0</v>
      </c>
      <c r="N169" s="215">
        <v>0</v>
      </c>
      <c r="O169" s="214">
        <v>280</v>
      </c>
      <c r="P169" s="220">
        <v>0</v>
      </c>
      <c r="Q169" s="215">
        <v>0</v>
      </c>
      <c r="R169" s="215">
        <v>0</v>
      </c>
      <c r="S169" s="214">
        <v>307.84</v>
      </c>
      <c r="T169" s="220">
        <v>0</v>
      </c>
      <c r="U169" s="215">
        <v>0</v>
      </c>
      <c r="V169" s="215">
        <v>0</v>
      </c>
      <c r="W169" s="214">
        <v>306</v>
      </c>
      <c r="X169" s="220">
        <v>0</v>
      </c>
      <c r="Y169" s="215">
        <v>0</v>
      </c>
      <c r="Z169" s="215">
        <v>0</v>
      </c>
      <c r="AA169" s="214">
        <v>385</v>
      </c>
      <c r="AB169" s="220">
        <v>0</v>
      </c>
      <c r="AC169" s="215">
        <v>0</v>
      </c>
      <c r="AD169" s="215">
        <v>0</v>
      </c>
    </row>
    <row r="170" spans="1:30" ht="24.75" customHeight="1">
      <c r="A170" s="218" t="s">
        <v>186</v>
      </c>
      <c r="B170" s="219" t="s">
        <v>472</v>
      </c>
      <c r="C170" s="214">
        <v>210</v>
      </c>
      <c r="D170" s="220">
        <v>0</v>
      </c>
      <c r="E170" s="215">
        <v>0</v>
      </c>
      <c r="F170" s="215">
        <v>0</v>
      </c>
      <c r="G170" s="214">
        <v>192.5</v>
      </c>
      <c r="H170" s="220">
        <v>0</v>
      </c>
      <c r="I170" s="215">
        <v>0</v>
      </c>
      <c r="J170" s="215">
        <v>0</v>
      </c>
      <c r="K170" s="214">
        <v>300</v>
      </c>
      <c r="L170" s="220">
        <v>0</v>
      </c>
      <c r="M170" s="215">
        <v>0</v>
      </c>
      <c r="N170" s="215">
        <v>0</v>
      </c>
      <c r="O170" s="214">
        <v>210</v>
      </c>
      <c r="P170" s="220">
        <v>0</v>
      </c>
      <c r="Q170" s="215">
        <v>0</v>
      </c>
      <c r="R170" s="215">
        <v>0</v>
      </c>
      <c r="S170" s="214">
        <v>281.99</v>
      </c>
      <c r="T170" s="220">
        <v>0</v>
      </c>
      <c r="U170" s="215">
        <v>0</v>
      </c>
      <c r="V170" s="215">
        <v>0</v>
      </c>
      <c r="W170" s="214">
        <v>214</v>
      </c>
      <c r="X170" s="220">
        <v>0</v>
      </c>
      <c r="Y170" s="215">
        <v>0</v>
      </c>
      <c r="Z170" s="215">
        <v>0</v>
      </c>
      <c r="AA170" s="214">
        <v>349.6</v>
      </c>
      <c r="AB170" s="220">
        <v>0</v>
      </c>
      <c r="AC170" s="215">
        <v>0</v>
      </c>
      <c r="AD170" s="215">
        <v>0</v>
      </c>
    </row>
    <row r="171" spans="1:30" ht="24.75" customHeight="1">
      <c r="A171" s="218" t="s">
        <v>188</v>
      </c>
      <c r="B171" s="219" t="s">
        <v>473</v>
      </c>
      <c r="C171" s="214">
        <v>690</v>
      </c>
      <c r="D171" s="220">
        <v>0</v>
      </c>
      <c r="E171" s="215">
        <v>0</v>
      </c>
      <c r="F171" s="215">
        <v>0</v>
      </c>
      <c r="G171" s="214">
        <v>275</v>
      </c>
      <c r="H171" s="220">
        <v>0</v>
      </c>
      <c r="I171" s="215">
        <v>0</v>
      </c>
      <c r="J171" s="215">
        <v>0</v>
      </c>
      <c r="K171" s="214">
        <v>440</v>
      </c>
      <c r="L171" s="220">
        <v>0</v>
      </c>
      <c r="M171" s="215">
        <v>0</v>
      </c>
      <c r="N171" s="215">
        <v>0</v>
      </c>
      <c r="O171" s="214">
        <v>380</v>
      </c>
      <c r="P171" s="220">
        <v>0</v>
      </c>
      <c r="Q171" s="215">
        <v>0</v>
      </c>
      <c r="R171" s="215">
        <v>0</v>
      </c>
      <c r="S171" s="214">
        <v>320.76</v>
      </c>
      <c r="T171" s="220">
        <v>0</v>
      </c>
      <c r="U171" s="215">
        <v>0</v>
      </c>
      <c r="V171" s="215">
        <v>0</v>
      </c>
      <c r="W171" s="214">
        <v>398</v>
      </c>
      <c r="X171" s="220">
        <v>0</v>
      </c>
      <c r="Y171" s="215">
        <v>0</v>
      </c>
      <c r="Z171" s="215">
        <v>0</v>
      </c>
      <c r="AA171" s="214">
        <v>402</v>
      </c>
      <c r="AB171" s="220">
        <v>0</v>
      </c>
      <c r="AC171" s="215">
        <v>0</v>
      </c>
      <c r="AD171" s="215">
        <v>0</v>
      </c>
    </row>
    <row r="172" spans="1:30" ht="24.75" customHeight="1">
      <c r="A172" s="218" t="s">
        <v>190</v>
      </c>
      <c r="B172" s="219" t="s">
        <v>474</v>
      </c>
      <c r="C172" s="214">
        <v>320</v>
      </c>
      <c r="D172" s="220">
        <v>0</v>
      </c>
      <c r="E172" s="215">
        <v>0</v>
      </c>
      <c r="F172" s="215">
        <v>0</v>
      </c>
      <c r="G172" s="214">
        <v>247.5</v>
      </c>
      <c r="H172" s="220">
        <v>0</v>
      </c>
      <c r="I172" s="215">
        <v>0</v>
      </c>
      <c r="J172" s="215">
        <v>0</v>
      </c>
      <c r="K172" s="214">
        <v>500</v>
      </c>
      <c r="L172" s="220">
        <v>0</v>
      </c>
      <c r="M172" s="215">
        <v>0</v>
      </c>
      <c r="N172" s="215">
        <v>0</v>
      </c>
      <c r="O172" s="214">
        <v>280</v>
      </c>
      <c r="P172" s="220">
        <v>0</v>
      </c>
      <c r="Q172" s="215">
        <v>0</v>
      </c>
      <c r="R172" s="215">
        <v>0</v>
      </c>
      <c r="S172" s="214">
        <v>307.84</v>
      </c>
      <c r="T172" s="220">
        <v>0</v>
      </c>
      <c r="U172" s="215">
        <v>0</v>
      </c>
      <c r="V172" s="215">
        <v>0</v>
      </c>
      <c r="W172" s="214">
        <v>306</v>
      </c>
      <c r="X172" s="220">
        <v>0</v>
      </c>
      <c r="Y172" s="215">
        <v>0</v>
      </c>
      <c r="Z172" s="215">
        <v>0</v>
      </c>
      <c r="AA172" s="214">
        <v>403.48</v>
      </c>
      <c r="AB172" s="220">
        <v>0</v>
      </c>
      <c r="AC172" s="215">
        <v>0</v>
      </c>
      <c r="AD172" s="215">
        <v>0</v>
      </c>
    </row>
    <row r="173" spans="1:30" ht="24.75" customHeight="1">
      <c r="A173" s="218" t="s">
        <v>192</v>
      </c>
      <c r="B173" s="219" t="s">
        <v>475</v>
      </c>
      <c r="C173" s="214">
        <v>210</v>
      </c>
      <c r="D173" s="220">
        <v>0</v>
      </c>
      <c r="E173" s="215">
        <v>0</v>
      </c>
      <c r="F173" s="215">
        <v>0</v>
      </c>
      <c r="G173" s="214">
        <v>192.5</v>
      </c>
      <c r="H173" s="220">
        <v>0</v>
      </c>
      <c r="I173" s="215">
        <v>0</v>
      </c>
      <c r="J173" s="215">
        <v>0</v>
      </c>
      <c r="K173" s="214">
        <v>300</v>
      </c>
      <c r="L173" s="220">
        <v>0</v>
      </c>
      <c r="M173" s="215">
        <v>0</v>
      </c>
      <c r="N173" s="215">
        <v>0</v>
      </c>
      <c r="O173" s="214">
        <v>210</v>
      </c>
      <c r="P173" s="220">
        <v>0</v>
      </c>
      <c r="Q173" s="215">
        <v>0</v>
      </c>
      <c r="R173" s="215">
        <v>0</v>
      </c>
      <c r="S173" s="214">
        <v>281.99</v>
      </c>
      <c r="T173" s="220">
        <v>0</v>
      </c>
      <c r="U173" s="215">
        <v>0</v>
      </c>
      <c r="V173" s="215">
        <v>0</v>
      </c>
      <c r="W173" s="214">
        <v>214</v>
      </c>
      <c r="X173" s="220">
        <v>0</v>
      </c>
      <c r="Y173" s="215">
        <v>0</v>
      </c>
      <c r="Z173" s="215">
        <v>0</v>
      </c>
      <c r="AA173" s="214">
        <v>349.6</v>
      </c>
      <c r="AB173" s="220">
        <v>0</v>
      </c>
      <c r="AC173" s="215">
        <v>0</v>
      </c>
      <c r="AD173" s="215">
        <v>0</v>
      </c>
    </row>
    <row r="174" spans="1:30" ht="24.75" customHeight="1">
      <c r="A174" s="218" t="s">
        <v>194</v>
      </c>
      <c r="B174" s="219" t="s">
        <v>476</v>
      </c>
      <c r="C174" s="214">
        <v>690</v>
      </c>
      <c r="D174" s="220">
        <v>0</v>
      </c>
      <c r="E174" s="215">
        <v>0</v>
      </c>
      <c r="F174" s="215">
        <v>0</v>
      </c>
      <c r="G174" s="214">
        <v>275</v>
      </c>
      <c r="H174" s="220">
        <v>0</v>
      </c>
      <c r="I174" s="215">
        <v>0</v>
      </c>
      <c r="J174" s="215">
        <v>0</v>
      </c>
      <c r="K174" s="214">
        <v>440</v>
      </c>
      <c r="L174" s="220">
        <v>0</v>
      </c>
      <c r="M174" s="215">
        <v>0</v>
      </c>
      <c r="N174" s="215">
        <v>0</v>
      </c>
      <c r="O174" s="214">
        <v>380</v>
      </c>
      <c r="P174" s="220">
        <v>0</v>
      </c>
      <c r="Q174" s="215">
        <v>0</v>
      </c>
      <c r="R174" s="215">
        <v>0</v>
      </c>
      <c r="S174" s="214">
        <v>320.76</v>
      </c>
      <c r="T174" s="220">
        <v>0</v>
      </c>
      <c r="U174" s="215">
        <v>0</v>
      </c>
      <c r="V174" s="215">
        <v>0</v>
      </c>
      <c r="W174" s="214">
        <v>398</v>
      </c>
      <c r="X174" s="220">
        <v>0</v>
      </c>
      <c r="Y174" s="215">
        <v>0</v>
      </c>
      <c r="Z174" s="215">
        <v>0</v>
      </c>
      <c r="AA174" s="214">
        <v>402</v>
      </c>
      <c r="AB174" s="220">
        <v>0</v>
      </c>
      <c r="AC174" s="215">
        <v>0</v>
      </c>
      <c r="AD174" s="215">
        <v>0</v>
      </c>
    </row>
    <row r="175" spans="1:30" ht="24.75" customHeight="1">
      <c r="A175" s="218" t="s">
        <v>196</v>
      </c>
      <c r="B175" s="219" t="s">
        <v>477</v>
      </c>
      <c r="C175" s="214">
        <v>320</v>
      </c>
      <c r="D175" s="220">
        <v>0</v>
      </c>
      <c r="E175" s="215">
        <v>0</v>
      </c>
      <c r="F175" s="215">
        <v>0</v>
      </c>
      <c r="G175" s="214">
        <v>247.5</v>
      </c>
      <c r="H175" s="220">
        <v>0</v>
      </c>
      <c r="I175" s="215">
        <v>0</v>
      </c>
      <c r="J175" s="215">
        <v>0</v>
      </c>
      <c r="K175" s="214">
        <v>500</v>
      </c>
      <c r="L175" s="220">
        <v>0</v>
      </c>
      <c r="M175" s="215">
        <v>0</v>
      </c>
      <c r="N175" s="215">
        <v>0</v>
      </c>
      <c r="O175" s="214">
        <v>280</v>
      </c>
      <c r="P175" s="220">
        <v>0</v>
      </c>
      <c r="Q175" s="215">
        <v>0</v>
      </c>
      <c r="R175" s="215">
        <v>0</v>
      </c>
      <c r="S175" s="214">
        <v>307.84</v>
      </c>
      <c r="T175" s="220">
        <v>0</v>
      </c>
      <c r="U175" s="215">
        <v>0</v>
      </c>
      <c r="V175" s="215">
        <v>0</v>
      </c>
      <c r="W175" s="214">
        <v>306</v>
      </c>
      <c r="X175" s="220">
        <v>0</v>
      </c>
      <c r="Y175" s="215">
        <v>0</v>
      </c>
      <c r="Z175" s="215">
        <v>0</v>
      </c>
      <c r="AA175" s="214">
        <v>369.6</v>
      </c>
      <c r="AB175" s="220">
        <v>0</v>
      </c>
      <c r="AC175" s="215">
        <v>0</v>
      </c>
      <c r="AD175" s="215">
        <v>0</v>
      </c>
    </row>
    <row r="176" spans="1:30" ht="24.75" customHeight="1">
      <c r="A176" s="218" t="s">
        <v>198</v>
      </c>
      <c r="B176" s="219" t="s">
        <v>478</v>
      </c>
      <c r="C176" s="214">
        <v>210</v>
      </c>
      <c r="D176" s="220">
        <v>0</v>
      </c>
      <c r="E176" s="215">
        <v>0</v>
      </c>
      <c r="F176" s="215">
        <v>0</v>
      </c>
      <c r="G176" s="214">
        <v>192.5</v>
      </c>
      <c r="H176" s="220">
        <v>0</v>
      </c>
      <c r="I176" s="215">
        <v>0</v>
      </c>
      <c r="J176" s="215">
        <v>0</v>
      </c>
      <c r="K176" s="214">
        <v>300</v>
      </c>
      <c r="L176" s="220">
        <v>0</v>
      </c>
      <c r="M176" s="215">
        <v>0</v>
      </c>
      <c r="N176" s="215">
        <v>0</v>
      </c>
      <c r="O176" s="214">
        <v>210</v>
      </c>
      <c r="P176" s="220">
        <v>0</v>
      </c>
      <c r="Q176" s="215">
        <v>0</v>
      </c>
      <c r="R176" s="215">
        <v>0</v>
      </c>
      <c r="S176" s="214">
        <v>281.99</v>
      </c>
      <c r="T176" s="220">
        <v>0</v>
      </c>
      <c r="U176" s="215">
        <v>0</v>
      </c>
      <c r="V176" s="215">
        <v>0</v>
      </c>
      <c r="W176" s="214">
        <v>214</v>
      </c>
      <c r="X176" s="220">
        <v>0</v>
      </c>
      <c r="Y176" s="215">
        <v>0</v>
      </c>
      <c r="Z176" s="215">
        <v>0</v>
      </c>
      <c r="AA176" s="214">
        <v>319.2</v>
      </c>
      <c r="AB176" s="220">
        <v>0</v>
      </c>
      <c r="AC176" s="215">
        <v>0</v>
      </c>
      <c r="AD176" s="215">
        <v>0</v>
      </c>
    </row>
    <row r="177" spans="1:30" ht="24.75" customHeight="1">
      <c r="A177" s="218" t="s">
        <v>200</v>
      </c>
      <c r="B177" s="219" t="s">
        <v>479</v>
      </c>
      <c r="C177" s="214">
        <v>600</v>
      </c>
      <c r="D177" s="220">
        <v>0</v>
      </c>
      <c r="E177" s="215">
        <v>0</v>
      </c>
      <c r="F177" s="215">
        <v>0</v>
      </c>
      <c r="G177" s="214">
        <v>1270.5</v>
      </c>
      <c r="H177" s="220">
        <v>0</v>
      </c>
      <c r="I177" s="215">
        <v>0</v>
      </c>
      <c r="J177" s="215">
        <v>0</v>
      </c>
      <c r="K177" s="214">
        <v>500</v>
      </c>
      <c r="L177" s="220">
        <v>0</v>
      </c>
      <c r="M177" s="215">
        <v>0</v>
      </c>
      <c r="N177" s="215">
        <v>0</v>
      </c>
      <c r="O177" s="214">
        <v>800</v>
      </c>
      <c r="P177" s="220">
        <v>0</v>
      </c>
      <c r="Q177" s="215">
        <v>0</v>
      </c>
      <c r="R177" s="215">
        <v>0</v>
      </c>
      <c r="S177" s="214">
        <v>481.73</v>
      </c>
      <c r="T177" s="220">
        <v>0</v>
      </c>
      <c r="U177" s="215">
        <v>0</v>
      </c>
      <c r="V177" s="215">
        <v>0</v>
      </c>
      <c r="W177" s="214">
        <v>663</v>
      </c>
      <c r="X177" s="220">
        <v>0</v>
      </c>
      <c r="Y177" s="215">
        <v>0</v>
      </c>
      <c r="Z177" s="215">
        <v>0</v>
      </c>
      <c r="AA177" s="214">
        <v>1061.94</v>
      </c>
      <c r="AB177" s="220">
        <v>0</v>
      </c>
      <c r="AC177" s="215">
        <v>0</v>
      </c>
      <c r="AD177" s="215">
        <v>0</v>
      </c>
    </row>
    <row r="178" spans="1:30" ht="24.75" customHeight="1">
      <c r="A178" s="218" t="s">
        <v>202</v>
      </c>
      <c r="B178" s="219" t="s">
        <v>480</v>
      </c>
      <c r="C178" s="214">
        <v>900</v>
      </c>
      <c r="D178" s="220">
        <v>0</v>
      </c>
      <c r="E178" s="215">
        <v>0</v>
      </c>
      <c r="F178" s="215">
        <v>0</v>
      </c>
      <c r="G178" s="214">
        <v>1559.25</v>
      </c>
      <c r="H178" s="220">
        <v>0</v>
      </c>
      <c r="I178" s="215">
        <v>0</v>
      </c>
      <c r="J178" s="215">
        <v>0</v>
      </c>
      <c r="K178" s="214">
        <v>1000</v>
      </c>
      <c r="L178" s="220">
        <v>0</v>
      </c>
      <c r="M178" s="215">
        <v>0</v>
      </c>
      <c r="N178" s="215">
        <v>0</v>
      </c>
      <c r="O178" s="214">
        <v>1300</v>
      </c>
      <c r="P178" s="220">
        <v>0</v>
      </c>
      <c r="Q178" s="215">
        <v>0</v>
      </c>
      <c r="R178" s="215">
        <v>0</v>
      </c>
      <c r="S178" s="214">
        <v>481.73</v>
      </c>
      <c r="T178" s="220">
        <v>0</v>
      </c>
      <c r="U178" s="215">
        <v>0</v>
      </c>
      <c r="V178" s="215">
        <v>0</v>
      </c>
      <c r="W178" s="214">
        <v>1683</v>
      </c>
      <c r="X178" s="220">
        <v>0</v>
      </c>
      <c r="Y178" s="215">
        <v>0</v>
      </c>
      <c r="Z178" s="215">
        <v>0</v>
      </c>
      <c r="AA178" s="214">
        <v>1061.94</v>
      </c>
      <c r="AB178" s="220">
        <v>0</v>
      </c>
      <c r="AC178" s="215">
        <v>0</v>
      </c>
      <c r="AD178" s="215">
        <v>0</v>
      </c>
    </row>
    <row r="179" spans="1:30" ht="24.75" customHeight="1">
      <c r="A179" s="218" t="s">
        <v>204</v>
      </c>
      <c r="B179" s="219" t="s">
        <v>481</v>
      </c>
      <c r="C179" s="214">
        <v>1200</v>
      </c>
      <c r="D179" s="220">
        <v>0</v>
      </c>
      <c r="E179" s="215">
        <v>0</v>
      </c>
      <c r="F179" s="215">
        <v>0</v>
      </c>
      <c r="G179" s="214">
        <v>1732.5</v>
      </c>
      <c r="H179" s="220">
        <v>0</v>
      </c>
      <c r="I179" s="215">
        <v>0</v>
      </c>
      <c r="J179" s="215">
        <v>0</v>
      </c>
      <c r="K179" s="214">
        <v>1000</v>
      </c>
      <c r="L179" s="220">
        <v>0</v>
      </c>
      <c r="M179" s="215">
        <v>0</v>
      </c>
      <c r="N179" s="215">
        <v>0</v>
      </c>
      <c r="O179" s="214">
        <v>1800</v>
      </c>
      <c r="P179" s="220">
        <v>0</v>
      </c>
      <c r="Q179" s="215">
        <v>0</v>
      </c>
      <c r="R179" s="215">
        <v>0</v>
      </c>
      <c r="S179" s="214">
        <v>481.73</v>
      </c>
      <c r="T179" s="220">
        <v>0</v>
      </c>
      <c r="U179" s="215">
        <v>0</v>
      </c>
      <c r="V179" s="215">
        <v>0</v>
      </c>
      <c r="W179" s="214">
        <v>2142</v>
      </c>
      <c r="X179" s="220">
        <v>0</v>
      </c>
      <c r="Y179" s="215">
        <v>0</v>
      </c>
      <c r="Z179" s="215">
        <v>0</v>
      </c>
      <c r="AA179" s="214">
        <v>1061.94</v>
      </c>
      <c r="AB179" s="220">
        <v>0</v>
      </c>
      <c r="AC179" s="215">
        <v>0</v>
      </c>
      <c r="AD179" s="215">
        <v>0</v>
      </c>
    </row>
    <row r="180" spans="1:30" ht="24.75" customHeight="1">
      <c r="A180" s="218" t="s">
        <v>206</v>
      </c>
      <c r="B180" s="219" t="s">
        <v>482</v>
      </c>
      <c r="C180" s="214">
        <v>980</v>
      </c>
      <c r="D180" s="220">
        <v>0</v>
      </c>
      <c r="E180" s="215">
        <v>0</v>
      </c>
      <c r="F180" s="215">
        <v>0</v>
      </c>
      <c r="G180" s="214">
        <v>924</v>
      </c>
      <c r="H180" s="220">
        <v>0</v>
      </c>
      <c r="I180" s="215">
        <v>0</v>
      </c>
      <c r="J180" s="215">
        <v>0</v>
      </c>
      <c r="K180" s="214">
        <v>400</v>
      </c>
      <c r="L180" s="220">
        <v>0</v>
      </c>
      <c r="M180" s="215">
        <v>0</v>
      </c>
      <c r="N180" s="215">
        <v>0</v>
      </c>
      <c r="O180" s="214">
        <v>1000</v>
      </c>
      <c r="P180" s="220">
        <v>0</v>
      </c>
      <c r="Q180" s="215">
        <v>0</v>
      </c>
      <c r="R180" s="215">
        <v>0</v>
      </c>
      <c r="S180" s="214">
        <v>481.73</v>
      </c>
      <c r="T180" s="220">
        <v>0</v>
      </c>
      <c r="U180" s="215">
        <v>0</v>
      </c>
      <c r="V180" s="215">
        <v>0</v>
      </c>
      <c r="W180" s="214">
        <v>530</v>
      </c>
      <c r="X180" s="220">
        <v>0</v>
      </c>
      <c r="Y180" s="215">
        <v>0</v>
      </c>
      <c r="Z180" s="215">
        <v>0</v>
      </c>
      <c r="AA180" s="214">
        <v>458.56</v>
      </c>
      <c r="AB180" s="220">
        <v>0</v>
      </c>
      <c r="AC180" s="215">
        <v>0</v>
      </c>
      <c r="AD180" s="215">
        <v>0</v>
      </c>
    </row>
    <row r="181" spans="1:30" ht="24.75" customHeight="1">
      <c r="A181" s="218" t="s">
        <v>208</v>
      </c>
      <c r="B181" s="219" t="s">
        <v>483</v>
      </c>
      <c r="C181" s="214">
        <v>1800</v>
      </c>
      <c r="D181" s="220">
        <v>0</v>
      </c>
      <c r="E181" s="215">
        <v>0</v>
      </c>
      <c r="F181" s="215">
        <v>0</v>
      </c>
      <c r="G181" s="214">
        <v>1155</v>
      </c>
      <c r="H181" s="220">
        <v>0</v>
      </c>
      <c r="I181" s="215">
        <v>0</v>
      </c>
      <c r="J181" s="215">
        <v>0</v>
      </c>
      <c r="K181" s="214">
        <v>400</v>
      </c>
      <c r="L181" s="220">
        <v>0</v>
      </c>
      <c r="M181" s="215">
        <v>0</v>
      </c>
      <c r="N181" s="215">
        <v>0</v>
      </c>
      <c r="O181" s="214">
        <v>1500</v>
      </c>
      <c r="P181" s="220">
        <v>0</v>
      </c>
      <c r="Q181" s="215">
        <v>0</v>
      </c>
      <c r="R181" s="215">
        <v>0</v>
      </c>
      <c r="S181" s="214">
        <v>481.73</v>
      </c>
      <c r="T181" s="220">
        <v>0</v>
      </c>
      <c r="U181" s="215">
        <v>0</v>
      </c>
      <c r="V181" s="215">
        <v>0</v>
      </c>
      <c r="W181" s="214">
        <v>530</v>
      </c>
      <c r="X181" s="220">
        <v>0</v>
      </c>
      <c r="Y181" s="215">
        <v>0</v>
      </c>
      <c r="Z181" s="215">
        <v>0</v>
      </c>
      <c r="AA181" s="214">
        <v>458.56</v>
      </c>
      <c r="AB181" s="220">
        <v>0</v>
      </c>
      <c r="AC181" s="215">
        <v>0</v>
      </c>
      <c r="AD181" s="215">
        <v>0</v>
      </c>
    </row>
    <row r="182" spans="1:30" ht="13.5" customHeight="1">
      <c r="A182" s="228"/>
      <c r="B182" s="231"/>
      <c r="D182" s="232"/>
      <c r="E182" s="233"/>
      <c r="F182" s="234"/>
      <c r="H182" s="232"/>
      <c r="I182" s="233"/>
      <c r="J182" s="234"/>
      <c r="L182" s="232"/>
      <c r="M182" s="233"/>
      <c r="N182" s="234"/>
      <c r="P182" s="232"/>
      <c r="Q182" s="233"/>
      <c r="R182" s="234"/>
      <c r="T182" s="232"/>
      <c r="U182" s="233"/>
      <c r="V182" s="234"/>
      <c r="X182" s="232"/>
      <c r="Y182" s="233"/>
      <c r="Z182" s="234"/>
      <c r="AB182" s="232"/>
      <c r="AC182" s="233"/>
      <c r="AD182" s="234"/>
    </row>
  </sheetData>
  <sheetProtection password="CCF0" sheet="1"/>
  <mergeCells count="7">
    <mergeCell ref="S1:V1"/>
    <mergeCell ref="W1:Z1"/>
    <mergeCell ref="AA1:AD1"/>
    <mergeCell ref="C1:F1"/>
    <mergeCell ref="G1:J1"/>
    <mergeCell ref="K1:N1"/>
    <mergeCell ref="O1:R1"/>
  </mergeCells>
  <dataValidations count="2">
    <dataValidation type="decimal" operator="equal" allowBlank="1" showInputMessage="1" showErrorMessage="1" sqref="E156:F181 AB131:AB132 AA44:AC44 AA152:AA155 AC154 AC104 AB151 AC3:AD42 AC46:AD102 AC106:AD152 AB43 AA41:AA43 AA45:AB45 AA46:AA54 AA85:AA105 AB103:AB105 AA139:AA150 X131:X132 Y154 Y3:Z42 Y46:Z102 Y106:Z152 X43 W41:W43 W45:X45 W46:W54 W85:W105 X103:X105 Y104 W139:W150 X151 W152:W155 W44:Y44 T131:T132 U3:V42 U46:V102 U106:V152 T43 S41:S43 S45:T45 S46:S54 S85:S105 T103:T105 S139:S150 T151 S152:S155 S44:U44 U104 U154 P131:P132 Q3:R42 Q46:R102 O44:Q44 Q106:R152 Q154 P43 O41:O43 O45:P45 O46:O54 O85:O105 P103:P105 O139:O150 P151 O152:O155 Q104 L131:L132 M3:N42 M46:N102 M106:N152 L43 K41:K43 K45:L45 K46:K54 K85:K105 L103:L105 K139:K150 L151 K152:K155 K44:M44 M104 M154 H131:H132 I154 I3:J42 I46:J102 I106:J152 H43 G41:G43 G45:H45 G46:G54 G85:G105 H103:H105 G139:G150 H151 G152:G155 G44:I44 I104 D131:D132 E106:F152 D43">
      <formula1>0</formula1>
    </dataValidation>
    <dataValidation type="decimal" operator="equal" allowBlank="1" showInputMessage="1" showErrorMessage="1" sqref="C41:C43 C45:D45 C46:C54 C85:C105 D103:D105 C139:C150 D151 C152:C155 C44:E44 E154 E104 E46:F102 E3:F42 AC156:AD181 M156:N181 U156:V181 Q156:R181 Y156:Z181 X153:X181 P153:P181 H153:H181 T153:T181 L153:L181 I156:J181 D153:D181 AB153:AB181">
      <formula1>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deflorio</cp:lastModifiedBy>
  <cp:lastPrinted>2016-02-22T10:08:44Z</cp:lastPrinted>
  <dcterms:created xsi:type="dcterms:W3CDTF">2015-05-19T15:34:40Z</dcterms:created>
  <dcterms:modified xsi:type="dcterms:W3CDTF">2016-10-21T13:11:02Z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_dlc_Doc">
    <vt:lpwstr>XP56SZDKYKZA-179-116</vt:lpwstr>
  </property>
  <property fmtid="{D5CDD505-2E9C-101B-9397-08002B2CF9AE}" pid="4" name="_dlc_DocIdItemGu">
    <vt:lpwstr>c3007f1d-0c6e-4399-8b6e-e7589991dcd5</vt:lpwstr>
  </property>
  <property fmtid="{D5CDD505-2E9C-101B-9397-08002B2CF9AE}" pid="5" name="_dlc_DocIdU">
    <vt:lpwstr>http://www.empulia.it/tno-a/empulia/Empulia/_layouts/DocIdRedir.aspx?ID=XP56SZDKYKZA-179-116, XP56SZDKYKZA-179-116</vt:lpwstr>
  </property>
</Properties>
</file>